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lkLmL9SEukWM2RyWaZqwR4eG-oWio0mQ\USA\global view\"/>
    </mc:Choice>
  </mc:AlternateContent>
  <xr:revisionPtr revIDLastSave="0" documentId="13_ncr:1_{24EFB98C-FFD4-4328-9C22-9950B132EF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lob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46" roundtripDataSignature="AMtx7mi1OPYmKYViba3tUCqf757ojEEIYQ=="/>
    </ext>
  </extLst>
</workbook>
</file>

<file path=xl/calcChain.xml><?xml version="1.0" encoding="utf-8"?>
<calcChain xmlns="http://schemas.openxmlformats.org/spreadsheetml/2006/main">
  <c r="E223" i="1" l="1"/>
  <c r="J113" i="1"/>
  <c r="T252" i="1"/>
  <c r="T250" i="1" l="1"/>
  <c r="L496" i="1" l="1"/>
  <c r="K496" i="1"/>
  <c r="J496" i="1"/>
  <c r="I496" i="1"/>
  <c r="H496" i="1"/>
  <c r="G496" i="1"/>
  <c r="F496" i="1"/>
  <c r="E496" i="1"/>
  <c r="E501" i="1" s="1"/>
  <c r="D496" i="1"/>
  <c r="D501" i="1" s="1"/>
  <c r="C496" i="1"/>
  <c r="C501" i="1" s="1"/>
  <c r="F447" i="1"/>
  <c r="G447" i="1"/>
  <c r="D495" i="1"/>
  <c r="E495" i="1"/>
  <c r="F495" i="1"/>
  <c r="G495" i="1"/>
  <c r="H495" i="1"/>
  <c r="I495" i="1"/>
  <c r="J495" i="1"/>
  <c r="K495" i="1"/>
  <c r="L495" i="1"/>
  <c r="M495" i="1"/>
  <c r="C495" i="1"/>
  <c r="H447" i="1"/>
  <c r="I447" i="1"/>
  <c r="J447" i="1"/>
  <c r="K447" i="1"/>
  <c r="L447" i="1"/>
  <c r="M447" i="1"/>
  <c r="D446" i="1"/>
  <c r="E446" i="1"/>
  <c r="F446" i="1"/>
  <c r="G446" i="1"/>
  <c r="H446" i="1"/>
  <c r="I446" i="1"/>
  <c r="J446" i="1"/>
  <c r="K446" i="1"/>
  <c r="L446" i="1"/>
  <c r="M446" i="1"/>
  <c r="C446" i="1"/>
  <c r="L436" i="1"/>
  <c r="D435" i="1"/>
  <c r="E435" i="1"/>
  <c r="F435" i="1"/>
  <c r="G435" i="1"/>
  <c r="H435" i="1"/>
  <c r="I435" i="1"/>
  <c r="J435" i="1"/>
  <c r="K435" i="1"/>
  <c r="L435" i="1"/>
  <c r="C435" i="1"/>
  <c r="L409" i="1"/>
  <c r="AH295" i="1"/>
  <c r="AC295" i="1"/>
  <c r="AB295" i="1"/>
  <c r="H295" i="1"/>
  <c r="F295" i="1"/>
  <c r="E295" i="1"/>
  <c r="D295" i="1"/>
  <c r="C295" i="1"/>
  <c r="Y185" i="1"/>
  <c r="X185" i="1"/>
  <c r="V185" i="1"/>
  <c r="U185" i="1"/>
  <c r="T185" i="1"/>
  <c r="S185" i="1"/>
  <c r="F185" i="1"/>
  <c r="E185" i="1"/>
  <c r="D185" i="1"/>
  <c r="C185" i="1"/>
  <c r="X57" i="1"/>
  <c r="U57" i="1"/>
  <c r="T57" i="1"/>
  <c r="N57" i="1"/>
  <c r="M57" i="1"/>
  <c r="E57" i="1"/>
  <c r="D57" i="1"/>
  <c r="C57" i="1"/>
  <c r="L501" i="1" l="1"/>
  <c r="F501" i="1"/>
  <c r="AD295" i="1"/>
  <c r="C121" i="1"/>
  <c r="AA296" i="1"/>
  <c r="Y296" i="1"/>
  <c r="H229" i="1" l="1"/>
  <c r="H195" i="1"/>
  <c r="H186" i="1"/>
  <c r="F186" i="1"/>
  <c r="AH355" i="1" l="1"/>
  <c r="AC355" i="1"/>
  <c r="AB355" i="1"/>
  <c r="T355" i="1"/>
  <c r="P355" i="1"/>
  <c r="O355" i="1"/>
  <c r="L355" i="1"/>
  <c r="K355" i="1"/>
  <c r="J355" i="1"/>
  <c r="I355" i="1"/>
  <c r="H355" i="1"/>
  <c r="F355" i="1"/>
  <c r="E355" i="1"/>
  <c r="D355" i="1"/>
  <c r="C355" i="1"/>
  <c r="X228" i="1"/>
  <c r="V228" i="1"/>
  <c r="U228" i="1"/>
  <c r="T228" i="1"/>
  <c r="S228" i="1"/>
  <c r="K228" i="1"/>
  <c r="J228" i="1"/>
  <c r="F228" i="1"/>
  <c r="E228" i="1"/>
  <c r="D228" i="1"/>
  <c r="C228" i="1"/>
  <c r="X100" i="1"/>
  <c r="U100" i="1"/>
  <c r="T100" i="1"/>
  <c r="N100" i="1"/>
  <c r="M100" i="1"/>
  <c r="L100" i="1"/>
  <c r="K100" i="1"/>
  <c r="J100" i="1"/>
  <c r="I100" i="1"/>
  <c r="H100" i="1"/>
  <c r="G100" i="1"/>
  <c r="F100" i="1"/>
  <c r="E100" i="1"/>
  <c r="C100" i="1"/>
  <c r="AH353" i="1" l="1"/>
  <c r="AC353" i="1"/>
  <c r="AB353" i="1"/>
  <c r="T353" i="1"/>
  <c r="P353" i="1"/>
  <c r="O353" i="1"/>
  <c r="L353" i="1"/>
  <c r="K353" i="1"/>
  <c r="J353" i="1"/>
  <c r="I353" i="1"/>
  <c r="H353" i="1"/>
  <c r="F353" i="1"/>
  <c r="E353" i="1"/>
  <c r="D353" i="1"/>
  <c r="C353" i="1"/>
  <c r="X226" i="1"/>
  <c r="V226" i="1"/>
  <c r="U226" i="1"/>
  <c r="T226" i="1"/>
  <c r="S226" i="1"/>
  <c r="K226" i="1"/>
  <c r="J226" i="1"/>
  <c r="F226" i="1"/>
  <c r="E226" i="1"/>
  <c r="D226" i="1"/>
  <c r="C226" i="1"/>
  <c r="X98" i="1"/>
  <c r="U98" i="1"/>
  <c r="T98" i="1"/>
  <c r="N98" i="1"/>
  <c r="M98" i="1"/>
  <c r="L98" i="1"/>
  <c r="K98" i="1"/>
  <c r="J98" i="1"/>
  <c r="I98" i="1"/>
  <c r="H98" i="1"/>
  <c r="G98" i="1"/>
  <c r="F98" i="1"/>
  <c r="E98" i="1"/>
  <c r="C98" i="1"/>
  <c r="AH351" i="1" l="1"/>
  <c r="AC351" i="1"/>
  <c r="AB351" i="1"/>
  <c r="T351" i="1"/>
  <c r="P351" i="1"/>
  <c r="O351" i="1"/>
  <c r="L351" i="1"/>
  <c r="K351" i="1"/>
  <c r="J351" i="1"/>
  <c r="I351" i="1"/>
  <c r="H351" i="1"/>
  <c r="F351" i="1"/>
  <c r="E351" i="1"/>
  <c r="D351" i="1"/>
  <c r="C351" i="1"/>
  <c r="X225" i="1"/>
  <c r="V225" i="1"/>
  <c r="U225" i="1"/>
  <c r="T225" i="1"/>
  <c r="S225" i="1"/>
  <c r="K225" i="1"/>
  <c r="J225" i="1"/>
  <c r="F225" i="1"/>
  <c r="E225" i="1"/>
  <c r="D225" i="1"/>
  <c r="C225" i="1"/>
  <c r="X97" i="1"/>
  <c r="U97" i="1"/>
  <c r="T97" i="1"/>
  <c r="N97" i="1"/>
  <c r="M97" i="1"/>
  <c r="L97" i="1"/>
  <c r="I97" i="1"/>
  <c r="K97" i="1"/>
  <c r="J97" i="1"/>
  <c r="H97" i="1"/>
  <c r="G97" i="1"/>
  <c r="F97" i="1"/>
  <c r="E97" i="1"/>
  <c r="C97" i="1"/>
  <c r="AH349" i="1" l="1"/>
  <c r="AC349" i="1"/>
  <c r="AB349" i="1"/>
  <c r="Y349" i="1"/>
  <c r="W349" i="1"/>
  <c r="X349" i="1"/>
  <c r="T349" i="1"/>
  <c r="P349" i="1"/>
  <c r="O349" i="1"/>
  <c r="L349" i="1"/>
  <c r="K349" i="1"/>
  <c r="J349" i="1"/>
  <c r="I349" i="1"/>
  <c r="H349" i="1"/>
  <c r="F349" i="1"/>
  <c r="E349" i="1"/>
  <c r="D349" i="1"/>
  <c r="C349" i="1"/>
  <c r="X224" i="1"/>
  <c r="V224" i="1"/>
  <c r="U224" i="1"/>
  <c r="T224" i="1"/>
  <c r="S224" i="1"/>
  <c r="K224" i="1"/>
  <c r="J224" i="1"/>
  <c r="F224" i="1"/>
  <c r="E224" i="1"/>
  <c r="D224" i="1"/>
  <c r="C224" i="1"/>
  <c r="X96" i="1"/>
  <c r="U96" i="1"/>
  <c r="T96" i="1"/>
  <c r="N96" i="1"/>
  <c r="M96" i="1"/>
  <c r="L96" i="1"/>
  <c r="I96" i="1"/>
  <c r="K96" i="1"/>
  <c r="J96" i="1"/>
  <c r="H96" i="1"/>
  <c r="G96" i="1"/>
  <c r="F96" i="1"/>
  <c r="E96" i="1"/>
  <c r="C96" i="1"/>
  <c r="AH347" i="1" l="1"/>
  <c r="AC347" i="1"/>
  <c r="AB347" i="1"/>
  <c r="T347" i="1"/>
  <c r="P347" i="1"/>
  <c r="O347" i="1"/>
  <c r="L347" i="1"/>
  <c r="K347" i="1"/>
  <c r="J347" i="1"/>
  <c r="I347" i="1"/>
  <c r="H347" i="1"/>
  <c r="F347" i="1"/>
  <c r="E347" i="1"/>
  <c r="D347" i="1"/>
  <c r="C347" i="1"/>
  <c r="X223" i="1"/>
  <c r="V223" i="1"/>
  <c r="U223" i="1"/>
  <c r="T223" i="1"/>
  <c r="S223" i="1"/>
  <c r="K223" i="1"/>
  <c r="J223" i="1"/>
  <c r="F223" i="1"/>
  <c r="D223" i="1"/>
  <c r="C223" i="1"/>
  <c r="U95" i="1"/>
  <c r="T95" i="1"/>
  <c r="N95" i="1"/>
  <c r="M95" i="1"/>
  <c r="L95" i="1"/>
  <c r="K95" i="1"/>
  <c r="J95" i="1"/>
  <c r="I95" i="1"/>
  <c r="H95" i="1"/>
  <c r="G95" i="1"/>
  <c r="F95" i="1"/>
  <c r="E95" i="1"/>
  <c r="C95" i="1"/>
  <c r="AH345" i="1" l="1"/>
  <c r="AC345" i="1"/>
  <c r="AB345" i="1"/>
  <c r="T345" i="1"/>
  <c r="P345" i="1"/>
  <c r="O345" i="1"/>
  <c r="L345" i="1"/>
  <c r="K345" i="1"/>
  <c r="J345" i="1"/>
  <c r="I345" i="1"/>
  <c r="H345" i="1"/>
  <c r="F345" i="1"/>
  <c r="E345" i="1"/>
  <c r="D345" i="1"/>
  <c r="C345" i="1"/>
  <c r="X222" i="1"/>
  <c r="V222" i="1"/>
  <c r="U222" i="1"/>
  <c r="T222" i="1"/>
  <c r="S222" i="1"/>
  <c r="K222" i="1"/>
  <c r="J222" i="1"/>
  <c r="F222" i="1"/>
  <c r="E222" i="1"/>
  <c r="D222" i="1"/>
  <c r="C222" i="1"/>
  <c r="X94" i="1"/>
  <c r="U94" i="1"/>
  <c r="T94" i="1"/>
  <c r="N94" i="1"/>
  <c r="M94" i="1"/>
  <c r="L94" i="1"/>
  <c r="I94" i="1"/>
  <c r="K94" i="1"/>
  <c r="J94" i="1"/>
  <c r="H94" i="1"/>
  <c r="G94" i="1"/>
  <c r="F94" i="1"/>
  <c r="E94" i="1"/>
  <c r="C94" i="1"/>
  <c r="AH343" i="1" l="1"/>
  <c r="AC343" i="1"/>
  <c r="AB343" i="1"/>
  <c r="T343" i="1"/>
  <c r="P343" i="1"/>
  <c r="O343" i="1"/>
  <c r="L343" i="1"/>
  <c r="K343" i="1"/>
  <c r="J343" i="1"/>
  <c r="I343" i="1"/>
  <c r="H343" i="1"/>
  <c r="F343" i="1"/>
  <c r="E343" i="1"/>
  <c r="D343" i="1"/>
  <c r="C343" i="1"/>
  <c r="X221" i="1"/>
  <c r="V221" i="1"/>
  <c r="U221" i="1"/>
  <c r="T221" i="1"/>
  <c r="S221" i="1"/>
  <c r="K221" i="1"/>
  <c r="J221" i="1"/>
  <c r="F221" i="1"/>
  <c r="E221" i="1"/>
  <c r="D221" i="1"/>
  <c r="C221" i="1"/>
  <c r="X93" i="1"/>
  <c r="U93" i="1"/>
  <c r="T93" i="1"/>
  <c r="N93" i="1"/>
  <c r="M93" i="1"/>
  <c r="L93" i="1"/>
  <c r="K93" i="1"/>
  <c r="J93" i="1"/>
  <c r="I93" i="1"/>
  <c r="H93" i="1"/>
  <c r="G93" i="1"/>
  <c r="F93" i="1"/>
  <c r="E93" i="1"/>
  <c r="C93" i="1"/>
  <c r="AH341" i="1" l="1"/>
  <c r="AC341" i="1"/>
  <c r="AB341" i="1"/>
  <c r="T341" i="1"/>
  <c r="P341" i="1"/>
  <c r="O341" i="1"/>
  <c r="L341" i="1"/>
  <c r="K341" i="1"/>
  <c r="J341" i="1"/>
  <c r="I341" i="1"/>
  <c r="H341" i="1"/>
  <c r="F341" i="1"/>
  <c r="E341" i="1"/>
  <c r="D341" i="1"/>
  <c r="C341" i="1"/>
  <c r="X220" i="1"/>
  <c r="V220" i="1"/>
  <c r="U220" i="1"/>
  <c r="T220" i="1"/>
  <c r="S220" i="1"/>
  <c r="K220" i="1"/>
  <c r="J220" i="1"/>
  <c r="F220" i="1"/>
  <c r="E220" i="1"/>
  <c r="D220" i="1"/>
  <c r="C220" i="1"/>
  <c r="X92" i="1"/>
  <c r="U92" i="1"/>
  <c r="T92" i="1"/>
  <c r="N92" i="1"/>
  <c r="M92" i="1"/>
  <c r="L92" i="1"/>
  <c r="K92" i="1"/>
  <c r="J92" i="1"/>
  <c r="I92" i="1"/>
  <c r="H92" i="1"/>
  <c r="G92" i="1"/>
  <c r="F92" i="1"/>
  <c r="E92" i="1"/>
  <c r="C92" i="1"/>
  <c r="AH339" i="1" l="1"/>
  <c r="AC339" i="1"/>
  <c r="AB339" i="1"/>
  <c r="T339" i="1"/>
  <c r="P339" i="1"/>
  <c r="O339" i="1"/>
  <c r="L339" i="1"/>
  <c r="K339" i="1"/>
  <c r="J339" i="1"/>
  <c r="I339" i="1"/>
  <c r="H339" i="1"/>
  <c r="F339" i="1"/>
  <c r="E339" i="1"/>
  <c r="D339" i="1"/>
  <c r="C339" i="1"/>
  <c r="X219" i="1" l="1"/>
  <c r="V219" i="1"/>
  <c r="U219" i="1"/>
  <c r="T219" i="1"/>
  <c r="S219" i="1"/>
  <c r="K219" i="1"/>
  <c r="J219" i="1"/>
  <c r="F219" i="1"/>
  <c r="E219" i="1"/>
  <c r="D219" i="1"/>
  <c r="C219" i="1"/>
  <c r="X91" i="1"/>
  <c r="U91" i="1"/>
  <c r="T91" i="1"/>
  <c r="N91" i="1"/>
  <c r="M91" i="1"/>
  <c r="L91" i="1"/>
  <c r="K91" i="1"/>
  <c r="J91" i="1"/>
  <c r="I91" i="1"/>
  <c r="H91" i="1"/>
  <c r="G91" i="1"/>
  <c r="F91" i="1"/>
  <c r="E91" i="1"/>
  <c r="C91" i="1"/>
  <c r="AH337" i="1" l="1"/>
  <c r="AC337" i="1"/>
  <c r="AB337" i="1"/>
  <c r="T337" i="1"/>
  <c r="P337" i="1"/>
  <c r="O337" i="1"/>
  <c r="L337" i="1"/>
  <c r="K337" i="1"/>
  <c r="J337" i="1"/>
  <c r="I337" i="1"/>
  <c r="H337" i="1"/>
  <c r="F337" i="1"/>
  <c r="E337" i="1"/>
  <c r="D337" i="1"/>
  <c r="C337" i="1"/>
  <c r="X218" i="1"/>
  <c r="V218" i="1"/>
  <c r="U218" i="1"/>
  <c r="T218" i="1"/>
  <c r="S218" i="1"/>
  <c r="K218" i="1"/>
  <c r="J218" i="1"/>
  <c r="F218" i="1"/>
  <c r="E218" i="1"/>
  <c r="D218" i="1"/>
  <c r="C218" i="1"/>
  <c r="X90" i="1"/>
  <c r="U90" i="1"/>
  <c r="T90" i="1"/>
  <c r="N90" i="1"/>
  <c r="M90" i="1"/>
  <c r="L90" i="1"/>
  <c r="I90" i="1"/>
  <c r="K90" i="1"/>
  <c r="J90" i="1"/>
  <c r="H90" i="1"/>
  <c r="G90" i="1"/>
  <c r="F90" i="1"/>
  <c r="E90" i="1"/>
  <c r="C90" i="1"/>
  <c r="AH335" i="1" l="1"/>
  <c r="AC335" i="1"/>
  <c r="AB335" i="1"/>
  <c r="T335" i="1"/>
  <c r="S335" i="1"/>
  <c r="P335" i="1"/>
  <c r="O335" i="1"/>
  <c r="L335" i="1"/>
  <c r="K335" i="1"/>
  <c r="J335" i="1"/>
  <c r="I335" i="1"/>
  <c r="H335" i="1"/>
  <c r="F335" i="1"/>
  <c r="E335" i="1"/>
  <c r="D335" i="1"/>
  <c r="C335" i="1"/>
  <c r="X216" i="1"/>
  <c r="V216" i="1"/>
  <c r="U216" i="1"/>
  <c r="T216" i="1"/>
  <c r="S216" i="1"/>
  <c r="K216" i="1"/>
  <c r="J216" i="1"/>
  <c r="F216" i="1"/>
  <c r="E216" i="1"/>
  <c r="D216" i="1"/>
  <c r="C216" i="1"/>
  <c r="X88" i="1"/>
  <c r="U88" i="1"/>
  <c r="T88" i="1"/>
  <c r="N88" i="1"/>
  <c r="M88" i="1"/>
  <c r="L88" i="1"/>
  <c r="K88" i="1"/>
  <c r="J88" i="1"/>
  <c r="I88" i="1"/>
  <c r="H88" i="1"/>
  <c r="G88" i="1"/>
  <c r="F88" i="1"/>
  <c r="E88" i="1"/>
  <c r="C88" i="1"/>
  <c r="O92" i="1" l="1"/>
  <c r="AH333" i="1"/>
  <c r="AC333" i="1"/>
  <c r="T333" i="1"/>
  <c r="AB333" i="1"/>
  <c r="S333" i="1"/>
  <c r="P333" i="1"/>
  <c r="O333" i="1"/>
  <c r="L333" i="1"/>
  <c r="K333" i="1"/>
  <c r="J333" i="1"/>
  <c r="I333" i="1"/>
  <c r="H333" i="1"/>
  <c r="F333" i="1"/>
  <c r="E333" i="1"/>
  <c r="D333" i="1"/>
  <c r="C333" i="1"/>
  <c r="X215" i="1"/>
  <c r="V215" i="1"/>
  <c r="U215" i="1"/>
  <c r="T215" i="1"/>
  <c r="S215" i="1"/>
  <c r="K215" i="1"/>
  <c r="J215" i="1"/>
  <c r="F215" i="1"/>
  <c r="E215" i="1"/>
  <c r="D215" i="1"/>
  <c r="C215" i="1"/>
  <c r="T87" i="1"/>
  <c r="L87" i="1"/>
  <c r="K87" i="1"/>
  <c r="H87" i="1"/>
  <c r="G87" i="1"/>
  <c r="C87" i="1"/>
  <c r="O57" i="1" l="1"/>
  <c r="Q57" i="1"/>
  <c r="O88" i="1"/>
  <c r="O98" i="1"/>
  <c r="P98" i="1"/>
  <c r="O97" i="1"/>
  <c r="P97" i="1"/>
  <c r="O100" i="1"/>
  <c r="P100" i="1"/>
  <c r="O96" i="1"/>
  <c r="P96" i="1"/>
  <c r="O95" i="1"/>
  <c r="O94" i="1"/>
  <c r="P94" i="1"/>
  <c r="O93" i="1"/>
  <c r="O90" i="1"/>
  <c r="P90" i="1"/>
  <c r="P92" i="1"/>
  <c r="Q92" i="1"/>
  <c r="O91" i="1"/>
  <c r="P91" i="1"/>
  <c r="M87" i="1"/>
  <c r="P57" i="1" l="1"/>
  <c r="P88" i="1"/>
  <c r="Q88" i="1"/>
  <c r="Q98" i="1"/>
  <c r="Q97" i="1"/>
  <c r="Q100" i="1"/>
  <c r="Q96" i="1"/>
  <c r="P95" i="1"/>
  <c r="Q95" i="1"/>
  <c r="Q94" i="1"/>
  <c r="P93" i="1"/>
  <c r="Q93" i="1"/>
  <c r="Q221" i="1"/>
  <c r="Q90" i="1"/>
  <c r="Q91" i="1"/>
  <c r="X87" i="1"/>
  <c r="Q185" i="1" l="1"/>
  <c r="V88" i="1"/>
  <c r="Q216" i="1"/>
  <c r="Q226" i="1"/>
  <c r="Q225" i="1"/>
  <c r="Q215" i="1"/>
  <c r="V100" i="1"/>
  <c r="Q228" i="1"/>
  <c r="V96" i="1"/>
  <c r="Q224" i="1"/>
  <c r="V95" i="1"/>
  <c r="Q223" i="1"/>
  <c r="V94" i="1"/>
  <c r="Q222" i="1"/>
  <c r="V93" i="1"/>
  <c r="R93" i="1"/>
  <c r="S93" i="1"/>
  <c r="V90" i="1"/>
  <c r="Q218" i="1"/>
  <c r="V91" i="1"/>
  <c r="Q219" i="1"/>
  <c r="E87" i="1"/>
  <c r="V57" i="1" l="1"/>
  <c r="R57" i="1"/>
  <c r="S57" i="1"/>
  <c r="S88" i="1"/>
  <c r="R88" i="1"/>
  <c r="S98" i="1"/>
  <c r="R98" i="1"/>
  <c r="V98" i="1"/>
  <c r="S97" i="1"/>
  <c r="R97" i="1"/>
  <c r="V97" i="1"/>
  <c r="R100" i="1"/>
  <c r="S100" i="1"/>
  <c r="S96" i="1"/>
  <c r="R96" i="1"/>
  <c r="S95" i="1"/>
  <c r="R95" i="1"/>
  <c r="S94" i="1"/>
  <c r="R94" i="1"/>
  <c r="S90" i="1"/>
  <c r="R90" i="1"/>
  <c r="R91" i="1"/>
  <c r="S91" i="1"/>
  <c r="I87" i="1"/>
  <c r="J87" i="1" l="1"/>
  <c r="F87" i="1"/>
  <c r="N87" i="1" l="1"/>
  <c r="U87" i="1" l="1"/>
  <c r="O87" i="1" l="1"/>
  <c r="P87" i="1"/>
  <c r="Q87" i="1" l="1"/>
  <c r="V87" i="1" l="1"/>
  <c r="R87" i="1" l="1"/>
  <c r="S87" i="1"/>
  <c r="AH331" i="1" l="1"/>
  <c r="AC331" i="1"/>
  <c r="AB331" i="1"/>
  <c r="S331" i="1"/>
  <c r="P331" i="1"/>
  <c r="O331" i="1"/>
  <c r="L331" i="1"/>
  <c r="K331" i="1"/>
  <c r="J331" i="1"/>
  <c r="I331" i="1"/>
  <c r="H331" i="1"/>
  <c r="F331" i="1"/>
  <c r="E331" i="1"/>
  <c r="D331" i="1"/>
  <c r="C331" i="1"/>
  <c r="X214" i="1"/>
  <c r="V214" i="1"/>
  <c r="U214" i="1"/>
  <c r="T214" i="1"/>
  <c r="S214" i="1"/>
  <c r="K214" i="1"/>
  <c r="J214" i="1"/>
  <c r="F214" i="1"/>
  <c r="E214" i="1"/>
  <c r="D214" i="1"/>
  <c r="C214" i="1"/>
  <c r="X86" i="1"/>
  <c r="U86" i="1"/>
  <c r="T86" i="1"/>
  <c r="N86" i="1"/>
  <c r="M86" i="1"/>
  <c r="L86" i="1"/>
  <c r="K86" i="1"/>
  <c r="J86" i="1"/>
  <c r="I86" i="1"/>
  <c r="H86" i="1"/>
  <c r="G86" i="1"/>
  <c r="F86" i="1"/>
  <c r="E86" i="1"/>
  <c r="C86" i="1"/>
  <c r="O86" i="1" l="1"/>
  <c r="P86" i="1"/>
  <c r="Q86" i="1" l="1"/>
  <c r="V86" i="1" l="1"/>
  <c r="Q214" i="1"/>
  <c r="R86" i="1" l="1"/>
  <c r="S86" i="1"/>
  <c r="AH329" i="1" l="1"/>
  <c r="AC329" i="1"/>
  <c r="AB329" i="1"/>
  <c r="T329" i="1"/>
  <c r="S329" i="1"/>
  <c r="P329" i="1"/>
  <c r="O329" i="1"/>
  <c r="L329" i="1"/>
  <c r="K329" i="1"/>
  <c r="J329" i="1"/>
  <c r="I329" i="1"/>
  <c r="H329" i="1"/>
  <c r="F329" i="1"/>
  <c r="E329" i="1"/>
  <c r="D329" i="1"/>
  <c r="C329" i="1"/>
  <c r="X213" i="1"/>
  <c r="V213" i="1"/>
  <c r="U213" i="1"/>
  <c r="T213" i="1"/>
  <c r="S213" i="1"/>
  <c r="Q213" i="1"/>
  <c r="K213" i="1"/>
  <c r="J213" i="1"/>
  <c r="F213" i="1"/>
  <c r="E213" i="1"/>
  <c r="D213" i="1"/>
  <c r="C213" i="1"/>
  <c r="X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C85" i="1"/>
  <c r="AH325" i="1" l="1"/>
  <c r="AC325" i="1"/>
  <c r="AB325" i="1"/>
  <c r="T325" i="1"/>
  <c r="S325" i="1"/>
  <c r="P325" i="1"/>
  <c r="O325" i="1"/>
  <c r="L325" i="1"/>
  <c r="K325" i="1"/>
  <c r="J325" i="1"/>
  <c r="I325" i="1"/>
  <c r="H325" i="1"/>
  <c r="F325" i="1"/>
  <c r="E325" i="1"/>
  <c r="D325" i="1"/>
  <c r="C325" i="1"/>
  <c r="AH327" i="1" l="1"/>
  <c r="AC327" i="1"/>
  <c r="AB327" i="1"/>
  <c r="S327" i="1"/>
  <c r="T327" i="1"/>
  <c r="P327" i="1"/>
  <c r="O327" i="1"/>
  <c r="L327" i="1"/>
  <c r="K327" i="1"/>
  <c r="J327" i="1"/>
  <c r="I327" i="1"/>
  <c r="H327" i="1"/>
  <c r="F327" i="1"/>
  <c r="E327" i="1"/>
  <c r="D327" i="1"/>
  <c r="C327" i="1"/>
  <c r="X212" i="1"/>
  <c r="V212" i="1"/>
  <c r="U212" i="1"/>
  <c r="T212" i="1"/>
  <c r="S212" i="1"/>
  <c r="Q212" i="1"/>
  <c r="K212" i="1"/>
  <c r="J212" i="1"/>
  <c r="F212" i="1"/>
  <c r="E212" i="1"/>
  <c r="D212" i="1"/>
  <c r="C212" i="1"/>
  <c r="X84" i="1"/>
  <c r="V84" i="1"/>
  <c r="U84" i="1"/>
  <c r="T84" i="1"/>
  <c r="S84" i="1"/>
  <c r="R84" i="1"/>
  <c r="Q84" i="1"/>
  <c r="P84" i="1"/>
  <c r="O84" i="1"/>
  <c r="N84" i="1"/>
  <c r="M84" i="1"/>
  <c r="L84" i="1"/>
  <c r="I84" i="1"/>
  <c r="K84" i="1"/>
  <c r="J84" i="1"/>
  <c r="H84" i="1"/>
  <c r="G84" i="1"/>
  <c r="F84" i="1"/>
  <c r="E84" i="1"/>
  <c r="C84" i="1"/>
  <c r="X210" i="1" l="1"/>
  <c r="V210" i="1"/>
  <c r="U210" i="1"/>
  <c r="T210" i="1"/>
  <c r="S210" i="1"/>
  <c r="Q210" i="1"/>
  <c r="K210" i="1"/>
  <c r="J210" i="1"/>
  <c r="F210" i="1"/>
  <c r="E210" i="1"/>
  <c r="D210" i="1"/>
  <c r="C210" i="1"/>
  <c r="X82" i="1"/>
  <c r="V82" i="1"/>
  <c r="U82" i="1"/>
  <c r="T82" i="1"/>
  <c r="S82" i="1"/>
  <c r="R82" i="1"/>
  <c r="Q82" i="1"/>
  <c r="P82" i="1"/>
  <c r="O82" i="1"/>
  <c r="N82" i="1"/>
  <c r="M82" i="1"/>
  <c r="L82" i="1"/>
  <c r="I82" i="1"/>
  <c r="K82" i="1"/>
  <c r="J82" i="1"/>
  <c r="H82" i="1"/>
  <c r="G82" i="1"/>
  <c r="F82" i="1"/>
  <c r="E82" i="1"/>
  <c r="C82" i="1"/>
  <c r="AH323" i="1" l="1"/>
  <c r="AC323" i="1"/>
  <c r="AB323" i="1"/>
  <c r="T323" i="1"/>
  <c r="P323" i="1"/>
  <c r="O323" i="1"/>
  <c r="L323" i="1"/>
  <c r="K323" i="1"/>
  <c r="J323" i="1"/>
  <c r="I323" i="1"/>
  <c r="H323" i="1"/>
  <c r="F323" i="1"/>
  <c r="E323" i="1"/>
  <c r="D323" i="1"/>
  <c r="C323" i="1"/>
  <c r="X209" i="1"/>
  <c r="V209" i="1"/>
  <c r="U209" i="1"/>
  <c r="T209" i="1"/>
  <c r="S209" i="1"/>
  <c r="Q209" i="1"/>
  <c r="K209" i="1"/>
  <c r="J209" i="1"/>
  <c r="F209" i="1"/>
  <c r="E209" i="1"/>
  <c r="D209" i="1"/>
  <c r="C209" i="1"/>
  <c r="X81" i="1"/>
  <c r="V81" i="1"/>
  <c r="U81" i="1"/>
  <c r="T81" i="1"/>
  <c r="S81" i="1"/>
  <c r="R81" i="1"/>
  <c r="Q81" i="1"/>
  <c r="P81" i="1"/>
  <c r="O81" i="1"/>
  <c r="N81" i="1"/>
  <c r="M81" i="1"/>
  <c r="L81" i="1"/>
  <c r="I81" i="1"/>
  <c r="K81" i="1"/>
  <c r="J81" i="1"/>
  <c r="H81" i="1"/>
  <c r="G81" i="1"/>
  <c r="F81" i="1"/>
  <c r="E81" i="1"/>
  <c r="C81" i="1"/>
  <c r="AH321" i="1" l="1"/>
  <c r="AC321" i="1"/>
  <c r="AB321" i="1"/>
  <c r="T321" i="1"/>
  <c r="P321" i="1"/>
  <c r="O321" i="1"/>
  <c r="L321" i="1"/>
  <c r="K321" i="1"/>
  <c r="J321" i="1"/>
  <c r="I321" i="1"/>
  <c r="H321" i="1"/>
  <c r="F321" i="1"/>
  <c r="E321" i="1"/>
  <c r="D321" i="1"/>
  <c r="C321" i="1"/>
  <c r="X208" i="1"/>
  <c r="V208" i="1"/>
  <c r="U208" i="1"/>
  <c r="T208" i="1"/>
  <c r="S208" i="1"/>
  <c r="Q208" i="1"/>
  <c r="K208" i="1"/>
  <c r="J208" i="1"/>
  <c r="F208" i="1"/>
  <c r="E208" i="1"/>
  <c r="D208" i="1"/>
  <c r="C208" i="1"/>
  <c r="X80" i="1"/>
  <c r="V80" i="1"/>
  <c r="U80" i="1"/>
  <c r="T80" i="1"/>
  <c r="S80" i="1"/>
  <c r="R80" i="1"/>
  <c r="Q80" i="1"/>
  <c r="P80" i="1"/>
  <c r="O80" i="1"/>
  <c r="N80" i="1"/>
  <c r="M80" i="1"/>
  <c r="L80" i="1"/>
  <c r="I80" i="1"/>
  <c r="K80" i="1"/>
  <c r="J80" i="1"/>
  <c r="H80" i="1"/>
  <c r="G80" i="1"/>
  <c r="F80" i="1"/>
  <c r="E80" i="1"/>
  <c r="C80" i="1"/>
  <c r="AD319" i="1" l="1"/>
  <c r="Y206" i="1"/>
  <c r="X206" i="1"/>
  <c r="V206" i="1"/>
  <c r="U206" i="1"/>
  <c r="T206" i="1"/>
  <c r="S206" i="1"/>
  <c r="Q206" i="1"/>
  <c r="K206" i="1"/>
  <c r="J206" i="1"/>
  <c r="F206" i="1"/>
  <c r="E206" i="1"/>
  <c r="D206" i="1"/>
  <c r="C206" i="1"/>
  <c r="V78" i="1"/>
  <c r="U78" i="1"/>
  <c r="T78" i="1"/>
  <c r="S78" i="1"/>
  <c r="R78" i="1"/>
  <c r="Q78" i="1"/>
  <c r="P78" i="1"/>
  <c r="O78" i="1"/>
  <c r="N78" i="1"/>
  <c r="M78" i="1"/>
  <c r="L78" i="1"/>
  <c r="I78" i="1"/>
  <c r="K78" i="1"/>
  <c r="J78" i="1"/>
  <c r="H78" i="1"/>
  <c r="G78" i="1"/>
  <c r="F78" i="1"/>
  <c r="E78" i="1"/>
  <c r="C78" i="1"/>
  <c r="X78" i="1" l="1"/>
  <c r="Q220" i="1" l="1"/>
  <c r="AH317" i="1"/>
  <c r="AC317" i="1"/>
  <c r="AB317" i="1"/>
  <c r="AA317" i="1"/>
  <c r="Y317" i="1"/>
  <c r="X317" i="1"/>
  <c r="W317" i="1"/>
  <c r="T317" i="1"/>
  <c r="P317" i="1"/>
  <c r="O317" i="1"/>
  <c r="L317" i="1"/>
  <c r="K317" i="1"/>
  <c r="J317" i="1"/>
  <c r="I317" i="1"/>
  <c r="H317" i="1"/>
  <c r="F317" i="1"/>
  <c r="E317" i="1"/>
  <c r="D317" i="1"/>
  <c r="C317" i="1"/>
  <c r="X204" i="1"/>
  <c r="V204" i="1"/>
  <c r="U204" i="1"/>
  <c r="T204" i="1"/>
  <c r="S204" i="1"/>
  <c r="Q204" i="1"/>
  <c r="K204" i="1"/>
  <c r="J204" i="1"/>
  <c r="F204" i="1"/>
  <c r="E204" i="1"/>
  <c r="D204" i="1"/>
  <c r="C204" i="1"/>
  <c r="X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C76" i="1"/>
  <c r="S92" i="1" l="1"/>
  <c r="R92" i="1"/>
  <c r="V92" i="1"/>
  <c r="AH315" i="1"/>
  <c r="AC315" i="1"/>
  <c r="AB315" i="1"/>
  <c r="AA315" i="1"/>
  <c r="Y315" i="1"/>
  <c r="Y356" i="1" s="1"/>
  <c r="X315" i="1"/>
  <c r="W315" i="1"/>
  <c r="T315" i="1"/>
  <c r="P315" i="1"/>
  <c r="O315" i="1"/>
  <c r="L315" i="1"/>
  <c r="K315" i="1"/>
  <c r="J315" i="1"/>
  <c r="I315" i="1"/>
  <c r="H315" i="1"/>
  <c r="F315" i="1"/>
  <c r="E315" i="1"/>
  <c r="D315" i="1"/>
  <c r="C315" i="1"/>
  <c r="Y202" i="1"/>
  <c r="X202" i="1"/>
  <c r="V202" i="1"/>
  <c r="U202" i="1"/>
  <c r="T202" i="1"/>
  <c r="S202" i="1"/>
  <c r="Q202" i="1"/>
  <c r="K202" i="1"/>
  <c r="J202" i="1"/>
  <c r="F202" i="1"/>
  <c r="F229" i="1" s="1"/>
  <c r="E202" i="1"/>
  <c r="D202" i="1"/>
  <c r="C202" i="1"/>
  <c r="X74" i="1"/>
  <c r="V74" i="1"/>
  <c r="U74" i="1"/>
  <c r="T74" i="1"/>
  <c r="S74" i="1"/>
  <c r="S101" i="1" s="1"/>
  <c r="R74" i="1"/>
  <c r="R101" i="1" s="1"/>
  <c r="Q74" i="1"/>
  <c r="P74" i="1"/>
  <c r="O74" i="1"/>
  <c r="N74" i="1"/>
  <c r="M74" i="1"/>
  <c r="L74" i="1"/>
  <c r="I74" i="1"/>
  <c r="K74" i="1"/>
  <c r="J74" i="1"/>
  <c r="H74" i="1"/>
  <c r="G74" i="1"/>
  <c r="F74" i="1"/>
  <c r="E74" i="1"/>
  <c r="C74" i="1"/>
  <c r="AH313" i="1" l="1"/>
  <c r="AC313" i="1"/>
  <c r="AB313" i="1"/>
  <c r="AB356" i="1" s="1"/>
  <c r="AA313" i="1"/>
  <c r="AA356" i="1" s="1"/>
  <c r="T313" i="1"/>
  <c r="T356" i="1" s="1"/>
  <c r="P313" i="1"/>
  <c r="O313" i="1"/>
  <c r="L313" i="1"/>
  <c r="K313" i="1"/>
  <c r="J313" i="1"/>
  <c r="I313" i="1"/>
  <c r="H313" i="1"/>
  <c r="F313" i="1"/>
  <c r="E313" i="1"/>
  <c r="D313" i="1"/>
  <c r="C313" i="1"/>
  <c r="Y200" i="1"/>
  <c r="X200" i="1"/>
  <c r="V200" i="1"/>
  <c r="V229" i="1" s="1"/>
  <c r="U200" i="1"/>
  <c r="U229" i="1" s="1"/>
  <c r="T200" i="1"/>
  <c r="T229" i="1" s="1"/>
  <c r="S200" i="1"/>
  <c r="S229" i="1" s="1"/>
  <c r="Q200" i="1"/>
  <c r="Q229" i="1" s="1"/>
  <c r="K200" i="1"/>
  <c r="J200" i="1"/>
  <c r="J229" i="1" s="1"/>
  <c r="I226" i="1"/>
  <c r="P226" i="1"/>
  <c r="O226" i="1"/>
  <c r="G226" i="1"/>
  <c r="N226" i="1" s="1"/>
  <c r="I228" i="1"/>
  <c r="I225" i="1"/>
  <c r="I224" i="1"/>
  <c r="I223" i="1"/>
  <c r="I222" i="1"/>
  <c r="I221" i="1"/>
  <c r="I220" i="1"/>
  <c r="I219" i="1"/>
  <c r="I218" i="1"/>
  <c r="I216" i="1"/>
  <c r="I215" i="1"/>
  <c r="I214" i="1"/>
  <c r="I213" i="1"/>
  <c r="I212" i="1"/>
  <c r="I210" i="1"/>
  <c r="I209" i="1"/>
  <c r="I208" i="1"/>
  <c r="I206" i="1"/>
  <c r="I204" i="1"/>
  <c r="I202" i="1"/>
  <c r="E200" i="1"/>
  <c r="E229" i="1" s="1"/>
  <c r="D200" i="1"/>
  <c r="D229" i="1" s="1"/>
  <c r="C200" i="1"/>
  <c r="C229" i="1" s="1"/>
  <c r="X72" i="1"/>
  <c r="V72" i="1"/>
  <c r="U72" i="1"/>
  <c r="T72" i="1"/>
  <c r="S72" i="1"/>
  <c r="R72" i="1"/>
  <c r="Q72" i="1"/>
  <c r="Q101" i="1" s="1"/>
  <c r="P72" i="1"/>
  <c r="I200" i="1" s="1"/>
  <c r="O72" i="1"/>
  <c r="N72" i="1"/>
  <c r="M72" i="1"/>
  <c r="L72" i="1"/>
  <c r="I72" i="1"/>
  <c r="K72" i="1"/>
  <c r="J72" i="1"/>
  <c r="H72" i="1"/>
  <c r="G72" i="1"/>
  <c r="F72" i="1"/>
  <c r="E72" i="1"/>
  <c r="C72" i="1"/>
  <c r="I229" i="1" l="1"/>
  <c r="L226" i="1"/>
  <c r="AH306" i="1" l="1"/>
  <c r="AC306" i="1"/>
  <c r="AB306" i="1"/>
  <c r="T306" i="1"/>
  <c r="L306" i="1"/>
  <c r="K306" i="1"/>
  <c r="J306" i="1"/>
  <c r="I306" i="1"/>
  <c r="H306" i="1"/>
  <c r="F306" i="1"/>
  <c r="E306" i="1"/>
  <c r="D306" i="1"/>
  <c r="C306" i="1"/>
  <c r="X194" i="1"/>
  <c r="V194" i="1"/>
  <c r="U194" i="1"/>
  <c r="T194" i="1"/>
  <c r="S194" i="1"/>
  <c r="Q194" i="1"/>
  <c r="K194" i="1"/>
  <c r="J194" i="1"/>
  <c r="F194" i="1"/>
  <c r="E194" i="1"/>
  <c r="D194" i="1"/>
  <c r="C194" i="1"/>
  <c r="X66" i="1"/>
  <c r="V66" i="1"/>
  <c r="U66" i="1"/>
  <c r="T66" i="1"/>
  <c r="S66" i="1"/>
  <c r="R66" i="1"/>
  <c r="Q66" i="1"/>
  <c r="P66" i="1"/>
  <c r="O66" i="1"/>
  <c r="N66" i="1"/>
  <c r="M66" i="1"/>
  <c r="L66" i="1"/>
  <c r="I66" i="1"/>
  <c r="K66" i="1"/>
  <c r="J66" i="1"/>
  <c r="H66" i="1"/>
  <c r="F66" i="1"/>
  <c r="G66" i="1"/>
  <c r="E66" i="1"/>
  <c r="C66" i="1"/>
  <c r="AH304" i="1" l="1"/>
  <c r="AC304" i="1"/>
  <c r="AB304" i="1"/>
  <c r="Y304" i="1"/>
  <c r="Y307" i="1" s="1"/>
  <c r="X304" i="1"/>
  <c r="W304" i="1"/>
  <c r="T304" i="1"/>
  <c r="S304" i="1"/>
  <c r="L304" i="1"/>
  <c r="K304" i="1"/>
  <c r="J304" i="1"/>
  <c r="I304" i="1"/>
  <c r="H304" i="1"/>
  <c r="F304" i="1"/>
  <c r="E304" i="1"/>
  <c r="D304" i="1"/>
  <c r="C304" i="1"/>
  <c r="X193" i="1"/>
  <c r="V193" i="1"/>
  <c r="U193" i="1"/>
  <c r="T193" i="1"/>
  <c r="S193" i="1"/>
  <c r="Q193" i="1"/>
  <c r="K193" i="1"/>
  <c r="J193" i="1"/>
  <c r="F193" i="1"/>
  <c r="E193" i="1"/>
  <c r="D193" i="1"/>
  <c r="C193" i="1"/>
  <c r="X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H65" i="1"/>
  <c r="G65" i="1"/>
  <c r="F65" i="1"/>
  <c r="E65" i="1"/>
  <c r="C65" i="1"/>
  <c r="AH302" i="1" l="1"/>
  <c r="AC302" i="1"/>
  <c r="AC307" i="1" s="1"/>
  <c r="AB302" i="1"/>
  <c r="AB307" i="1" s="1"/>
  <c r="T302" i="1"/>
  <c r="T307" i="1" s="1"/>
  <c r="L302" i="1"/>
  <c r="K302" i="1"/>
  <c r="J302" i="1"/>
  <c r="I302" i="1"/>
  <c r="H302" i="1"/>
  <c r="F302" i="1"/>
  <c r="F307" i="1" s="1"/>
  <c r="E302" i="1"/>
  <c r="D302" i="1"/>
  <c r="C302" i="1"/>
  <c r="X191" i="1"/>
  <c r="V191" i="1"/>
  <c r="V195" i="1" s="1"/>
  <c r="U191" i="1"/>
  <c r="U195" i="1" s="1"/>
  <c r="T191" i="1"/>
  <c r="T195" i="1" s="1"/>
  <c r="S191" i="1"/>
  <c r="S195" i="1" s="1"/>
  <c r="Q191" i="1"/>
  <c r="Q195" i="1" s="1"/>
  <c r="K191" i="1"/>
  <c r="J191" i="1"/>
  <c r="J195" i="1" s="1"/>
  <c r="I194" i="1"/>
  <c r="I193" i="1"/>
  <c r="F191" i="1"/>
  <c r="F195" i="1" s="1"/>
  <c r="E191" i="1"/>
  <c r="E195" i="1" s="1"/>
  <c r="D191" i="1"/>
  <c r="D195" i="1" s="1"/>
  <c r="C191" i="1"/>
  <c r="C195" i="1" s="1"/>
  <c r="X63" i="1"/>
  <c r="V63" i="1"/>
  <c r="U63" i="1"/>
  <c r="T63" i="1"/>
  <c r="S63" i="1"/>
  <c r="R63" i="1"/>
  <c r="Q63" i="1"/>
  <c r="P63" i="1"/>
  <c r="I191" i="1" s="1"/>
  <c r="O63" i="1"/>
  <c r="N63" i="1"/>
  <c r="M63" i="1"/>
  <c r="L63" i="1"/>
  <c r="K63" i="1"/>
  <c r="J63" i="1"/>
  <c r="H63" i="1"/>
  <c r="G63" i="1"/>
  <c r="F63" i="1"/>
  <c r="E63" i="1"/>
  <c r="C63" i="1"/>
  <c r="I195" i="1" l="1"/>
  <c r="AH279" i="1"/>
  <c r="AC279" i="1"/>
  <c r="AB279" i="1"/>
  <c r="T279" i="1"/>
  <c r="P279" i="1"/>
  <c r="O279" i="1"/>
  <c r="L279" i="1"/>
  <c r="K279" i="1"/>
  <c r="J279" i="1"/>
  <c r="I279" i="1"/>
  <c r="H279" i="1"/>
  <c r="F279" i="1"/>
  <c r="E279" i="1"/>
  <c r="D279" i="1"/>
  <c r="C279" i="1"/>
  <c r="Y169" i="1"/>
  <c r="X169" i="1"/>
  <c r="V169" i="1"/>
  <c r="U169" i="1"/>
  <c r="T169" i="1"/>
  <c r="S169" i="1"/>
  <c r="Q169" i="1"/>
  <c r="K169" i="1"/>
  <c r="J169" i="1"/>
  <c r="E169" i="1"/>
  <c r="D169" i="1"/>
  <c r="C169" i="1"/>
  <c r="X41" i="1"/>
  <c r="V41" i="1"/>
  <c r="U41" i="1"/>
  <c r="T41" i="1"/>
  <c r="S41" i="1"/>
  <c r="R41" i="1"/>
  <c r="Q41" i="1"/>
  <c r="P41" i="1"/>
  <c r="O41" i="1"/>
  <c r="N41" i="1"/>
  <c r="M41" i="1"/>
  <c r="L41" i="1"/>
  <c r="I41" i="1"/>
  <c r="K41" i="1"/>
  <c r="J41" i="1"/>
  <c r="H41" i="1"/>
  <c r="G41" i="1"/>
  <c r="F41" i="1"/>
  <c r="E41" i="1"/>
  <c r="C41" i="1"/>
  <c r="AH277" i="1" l="1"/>
  <c r="AC277" i="1"/>
  <c r="AC296" i="1" s="1"/>
  <c r="AB277" i="1"/>
  <c r="AB296" i="1" s="1"/>
  <c r="T277" i="1"/>
  <c r="T296" i="1" s="1"/>
  <c r="P277" i="1"/>
  <c r="O277" i="1"/>
  <c r="L277" i="1"/>
  <c r="K277" i="1"/>
  <c r="J277" i="1"/>
  <c r="I277" i="1"/>
  <c r="H277" i="1"/>
  <c r="F277" i="1"/>
  <c r="F296" i="1" s="1"/>
  <c r="E277" i="1"/>
  <c r="D277" i="1"/>
  <c r="C277" i="1"/>
  <c r="Y167" i="1"/>
  <c r="X167" i="1"/>
  <c r="V167" i="1"/>
  <c r="V186" i="1" s="1"/>
  <c r="U167" i="1"/>
  <c r="U186" i="1" s="1"/>
  <c r="T167" i="1"/>
  <c r="T186" i="1" s="1"/>
  <c r="S167" i="1"/>
  <c r="S186" i="1" s="1"/>
  <c r="Q167" i="1"/>
  <c r="Q186" i="1" s="1"/>
  <c r="K167" i="1"/>
  <c r="J167" i="1"/>
  <c r="J186" i="1" s="1"/>
  <c r="E167" i="1"/>
  <c r="E186" i="1" s="1"/>
  <c r="D167" i="1"/>
  <c r="C167" i="1"/>
  <c r="C186" i="1" s="1"/>
  <c r="Z39" i="1"/>
  <c r="X39" i="1"/>
  <c r="V39" i="1"/>
  <c r="U39" i="1"/>
  <c r="T39" i="1"/>
  <c r="S39" i="1"/>
  <c r="S58" i="1" s="1"/>
  <c r="R39" i="1"/>
  <c r="R58" i="1" s="1"/>
  <c r="Q39" i="1"/>
  <c r="Q58" i="1" s="1"/>
  <c r="P39" i="1"/>
  <c r="I167" i="1" s="1"/>
  <c r="O39" i="1"/>
  <c r="N39" i="1"/>
  <c r="M39" i="1"/>
  <c r="L39" i="1"/>
  <c r="I39" i="1"/>
  <c r="K39" i="1"/>
  <c r="K58" i="1" s="1"/>
  <c r="J39" i="1"/>
  <c r="J58" i="1" s="1"/>
  <c r="H39" i="1"/>
  <c r="G39" i="1"/>
  <c r="F39" i="1"/>
  <c r="E39" i="1"/>
  <c r="C39" i="1"/>
  <c r="AD355" i="1"/>
  <c r="AD353" i="1"/>
  <c r="AD351" i="1"/>
  <c r="AD349" i="1"/>
  <c r="AD347" i="1"/>
  <c r="AD345" i="1"/>
  <c r="AD343" i="1"/>
  <c r="AD341" i="1"/>
  <c r="AD339" i="1"/>
  <c r="AD337" i="1"/>
  <c r="AD335" i="1"/>
  <c r="AD333" i="1"/>
  <c r="AD331" i="1"/>
  <c r="AD329" i="1"/>
  <c r="AD327" i="1"/>
  <c r="AD325" i="1"/>
  <c r="AD323" i="1"/>
  <c r="AD321" i="1"/>
  <c r="AD317" i="1"/>
  <c r="AD315" i="1"/>
  <c r="AD313" i="1"/>
  <c r="AD306" i="1"/>
  <c r="AD304" i="1"/>
  <c r="P228" i="1"/>
  <c r="O228" i="1"/>
  <c r="G228" i="1"/>
  <c r="N228" i="1" s="1"/>
  <c r="P225" i="1"/>
  <c r="O225" i="1"/>
  <c r="G225" i="1"/>
  <c r="L225" i="1" s="1"/>
  <c r="P224" i="1"/>
  <c r="O224" i="1"/>
  <c r="G224" i="1"/>
  <c r="N224" i="1" s="1"/>
  <c r="P223" i="1"/>
  <c r="O223" i="1"/>
  <c r="G223" i="1"/>
  <c r="N223" i="1" s="1"/>
  <c r="P222" i="1"/>
  <c r="O222" i="1"/>
  <c r="G222" i="1"/>
  <c r="N222" i="1" s="1"/>
  <c r="P221" i="1"/>
  <c r="O221" i="1"/>
  <c r="G221" i="1"/>
  <c r="N221" i="1" s="1"/>
  <c r="P220" i="1"/>
  <c r="O220" i="1"/>
  <c r="G220" i="1"/>
  <c r="N220" i="1" s="1"/>
  <c r="P219" i="1"/>
  <c r="O219" i="1"/>
  <c r="G219" i="1"/>
  <c r="N219" i="1" s="1"/>
  <c r="P218" i="1"/>
  <c r="O218" i="1"/>
  <c r="G218" i="1"/>
  <c r="N218" i="1" s="1"/>
  <c r="P216" i="1"/>
  <c r="O216" i="1"/>
  <c r="G216" i="1"/>
  <c r="N216" i="1" s="1"/>
  <c r="P215" i="1"/>
  <c r="O215" i="1"/>
  <c r="G215" i="1"/>
  <c r="N215" i="1" s="1"/>
  <c r="P214" i="1"/>
  <c r="O214" i="1"/>
  <c r="G214" i="1"/>
  <c r="N214" i="1" s="1"/>
  <c r="P213" i="1"/>
  <c r="O213" i="1"/>
  <c r="G213" i="1"/>
  <c r="N213" i="1" s="1"/>
  <c r="P212" i="1"/>
  <c r="O212" i="1"/>
  <c r="G212" i="1"/>
  <c r="N212" i="1" s="1"/>
  <c r="P210" i="1"/>
  <c r="O210" i="1"/>
  <c r="G210" i="1"/>
  <c r="N210" i="1" s="1"/>
  <c r="P209" i="1"/>
  <c r="O209" i="1"/>
  <c r="G209" i="1"/>
  <c r="N209" i="1" s="1"/>
  <c r="P208" i="1"/>
  <c r="O208" i="1"/>
  <c r="G208" i="1"/>
  <c r="L208" i="1" s="1"/>
  <c r="P206" i="1"/>
  <c r="O206" i="1"/>
  <c r="G206" i="1"/>
  <c r="N206" i="1" s="1"/>
  <c r="P204" i="1"/>
  <c r="O204" i="1"/>
  <c r="G204" i="1"/>
  <c r="N204" i="1" s="1"/>
  <c r="P202" i="1"/>
  <c r="O202" i="1"/>
  <c r="G202" i="1"/>
  <c r="L202" i="1" s="1"/>
  <c r="P200" i="1"/>
  <c r="O200" i="1"/>
  <c r="G200" i="1"/>
  <c r="P194" i="1"/>
  <c r="O194" i="1"/>
  <c r="G194" i="1"/>
  <c r="N194" i="1" s="1"/>
  <c r="P193" i="1"/>
  <c r="O193" i="1"/>
  <c r="G193" i="1"/>
  <c r="N193" i="1" s="1"/>
  <c r="P191" i="1"/>
  <c r="O191" i="1"/>
  <c r="G191" i="1"/>
  <c r="P185" i="1"/>
  <c r="O185" i="1"/>
  <c r="G185" i="1"/>
  <c r="N185" i="1" s="1"/>
  <c r="P169" i="1"/>
  <c r="O169" i="1"/>
  <c r="I169" i="1"/>
  <c r="G169" i="1"/>
  <c r="N169" i="1" s="1"/>
  <c r="G101" i="1"/>
  <c r="F101" i="1"/>
  <c r="J101" i="1"/>
  <c r="K101" i="1"/>
  <c r="Y101" i="1"/>
  <c r="U101" i="1"/>
  <c r="V101" i="1"/>
  <c r="X101" i="1"/>
  <c r="T101" i="1"/>
  <c r="P101" i="1"/>
  <c r="O101" i="1"/>
  <c r="N101" i="1"/>
  <c r="M101" i="1"/>
  <c r="L101" i="1"/>
  <c r="I101" i="1"/>
  <c r="H101" i="1"/>
  <c r="E101" i="1"/>
  <c r="C101" i="1"/>
  <c r="Y58" i="1"/>
  <c r="Y67" i="1"/>
  <c r="V67" i="1"/>
  <c r="U67" i="1"/>
  <c r="S67" i="1"/>
  <c r="R67" i="1"/>
  <c r="Q67" i="1"/>
  <c r="X67" i="1"/>
  <c r="T67" i="1"/>
  <c r="P67" i="1"/>
  <c r="O67" i="1"/>
  <c r="N67" i="1"/>
  <c r="M67" i="1"/>
  <c r="L67" i="1"/>
  <c r="I67" i="1"/>
  <c r="H67" i="1"/>
  <c r="E67" i="1"/>
  <c r="C67" i="1"/>
  <c r="Z100" i="1"/>
  <c r="AA100" i="1" s="1"/>
  <c r="W100" i="1"/>
  <c r="D100" i="1"/>
  <c r="Z98" i="1"/>
  <c r="AA98" i="1" s="1"/>
  <c r="W98" i="1"/>
  <c r="D98" i="1"/>
  <c r="Z97" i="1"/>
  <c r="AA97" i="1" s="1"/>
  <c r="W97" i="1"/>
  <c r="D97" i="1"/>
  <c r="Z96" i="1"/>
  <c r="AA96" i="1" s="1"/>
  <c r="W96" i="1"/>
  <c r="D96" i="1"/>
  <c r="Z95" i="1"/>
  <c r="AA95" i="1" s="1"/>
  <c r="W95" i="1"/>
  <c r="D95" i="1"/>
  <c r="Z94" i="1"/>
  <c r="AA94" i="1" s="1"/>
  <c r="W94" i="1"/>
  <c r="D94" i="1"/>
  <c r="Z93" i="1"/>
  <c r="AA93" i="1" s="1"/>
  <c r="W93" i="1"/>
  <c r="D93" i="1"/>
  <c r="Z92" i="1"/>
  <c r="AA92" i="1" s="1"/>
  <c r="W92" i="1"/>
  <c r="D92" i="1"/>
  <c r="Z91" i="1"/>
  <c r="AA91" i="1" s="1"/>
  <c r="W91" i="1"/>
  <c r="D91" i="1"/>
  <c r="Z90" i="1"/>
  <c r="AA90" i="1" s="1"/>
  <c r="W90" i="1"/>
  <c r="D90" i="1"/>
  <c r="Z88" i="1"/>
  <c r="AA88" i="1" s="1"/>
  <c r="W88" i="1"/>
  <c r="D88" i="1"/>
  <c r="Z87" i="1"/>
  <c r="AA87" i="1" s="1"/>
  <c r="W87" i="1"/>
  <c r="D87" i="1"/>
  <c r="Z86" i="1"/>
  <c r="AA86" i="1" s="1"/>
  <c r="W86" i="1"/>
  <c r="D86" i="1"/>
  <c r="Z85" i="1"/>
  <c r="AA85" i="1" s="1"/>
  <c r="W85" i="1"/>
  <c r="D85" i="1"/>
  <c r="Z84" i="1"/>
  <c r="AA84" i="1" s="1"/>
  <c r="W84" i="1"/>
  <c r="D84" i="1"/>
  <c r="Z82" i="1"/>
  <c r="AA82" i="1" s="1"/>
  <c r="W82" i="1"/>
  <c r="D82" i="1"/>
  <c r="Z81" i="1"/>
  <c r="AA81" i="1" s="1"/>
  <c r="W81" i="1"/>
  <c r="D81" i="1"/>
  <c r="Z80" i="1"/>
  <c r="AA80" i="1" s="1"/>
  <c r="W80" i="1"/>
  <c r="D80" i="1"/>
  <c r="Z78" i="1"/>
  <c r="AA78" i="1" s="1"/>
  <c r="W78" i="1"/>
  <c r="D78" i="1"/>
  <c r="Z76" i="1"/>
  <c r="AA76" i="1" s="1"/>
  <c r="W76" i="1"/>
  <c r="D76" i="1"/>
  <c r="Z74" i="1"/>
  <c r="AA74" i="1" s="1"/>
  <c r="W74" i="1"/>
  <c r="D74" i="1"/>
  <c r="Z72" i="1"/>
  <c r="AA72" i="1" s="1"/>
  <c r="W72" i="1"/>
  <c r="D72" i="1"/>
  <c r="Z66" i="1"/>
  <c r="AA66" i="1" s="1"/>
  <c r="W66" i="1"/>
  <c r="D66" i="1"/>
  <c r="Z65" i="1"/>
  <c r="AA65" i="1" s="1"/>
  <c r="W65" i="1"/>
  <c r="D65" i="1"/>
  <c r="Z63" i="1"/>
  <c r="AA63" i="1" s="1"/>
  <c r="W63" i="1"/>
  <c r="D63" i="1"/>
  <c r="Z57" i="1"/>
  <c r="AA57" i="1" s="1"/>
  <c r="W57" i="1"/>
  <c r="Z41" i="1"/>
  <c r="AA41" i="1" s="1"/>
  <c r="W41" i="1"/>
  <c r="D41" i="1"/>
  <c r="O195" i="1" l="1"/>
  <c r="P195" i="1"/>
  <c r="N200" i="1"/>
  <c r="G229" i="1"/>
  <c r="P167" i="1"/>
  <c r="P186" i="1" s="1"/>
  <c r="D186" i="1"/>
  <c r="AD356" i="1"/>
  <c r="N191" i="1"/>
  <c r="N195" i="1" s="1"/>
  <c r="G195" i="1"/>
  <c r="O229" i="1"/>
  <c r="P229" i="1"/>
  <c r="I186" i="1"/>
  <c r="W67" i="1"/>
  <c r="L210" i="1"/>
  <c r="D67" i="1"/>
  <c r="W101" i="1"/>
  <c r="D101" i="1"/>
  <c r="L224" i="1"/>
  <c r="AA67" i="1"/>
  <c r="AA101" i="1"/>
  <c r="L209" i="1"/>
  <c r="N202" i="1"/>
  <c r="L222" i="1"/>
  <c r="N208" i="1"/>
  <c r="Z67" i="1"/>
  <c r="Z101" i="1"/>
  <c r="L206" i="1"/>
  <c r="L228" i="1"/>
  <c r="N225" i="1"/>
  <c r="L223" i="1"/>
  <c r="L221" i="1"/>
  <c r="L220" i="1"/>
  <c r="L219" i="1"/>
  <c r="L218" i="1"/>
  <c r="L216" i="1"/>
  <c r="L215" i="1"/>
  <c r="L214" i="1"/>
  <c r="L213" i="1"/>
  <c r="L212" i="1"/>
  <c r="L204" i="1"/>
  <c r="L200" i="1"/>
  <c r="L194" i="1"/>
  <c r="L193" i="1"/>
  <c r="L191" i="1"/>
  <c r="L169" i="1"/>
  <c r="G167" i="1"/>
  <c r="O167" i="1"/>
  <c r="O186" i="1" s="1"/>
  <c r="L195" i="1" l="1"/>
  <c r="L167" i="1"/>
  <c r="L186" i="1" s="1"/>
  <c r="G186" i="1"/>
  <c r="L229" i="1"/>
  <c r="N229" i="1"/>
  <c r="N167" i="1"/>
  <c r="N186" i="1" s="1"/>
  <c r="D39" i="1" l="1"/>
  <c r="AA39" i="1"/>
  <c r="P58" i="1"/>
  <c r="O58" i="1"/>
  <c r="N58" i="1"/>
  <c r="M58" i="1"/>
  <c r="E58" i="1"/>
  <c r="C58" i="1"/>
  <c r="V58" i="1"/>
  <c r="U58" i="1"/>
  <c r="X58" i="1"/>
  <c r="T58" i="1"/>
  <c r="L58" i="1"/>
  <c r="I58" i="1"/>
  <c r="H58" i="1"/>
  <c r="AH270" i="1"/>
  <c r="AC270" i="1"/>
  <c r="AB270" i="1"/>
  <c r="AA270" i="1"/>
  <c r="Y270" i="1"/>
  <c r="X270" i="1"/>
  <c r="W270" i="1"/>
  <c r="T270" i="1"/>
  <c r="S270" i="1"/>
  <c r="P270" i="1"/>
  <c r="O270" i="1"/>
  <c r="L270" i="1"/>
  <c r="K270" i="1"/>
  <c r="J270" i="1"/>
  <c r="I270" i="1"/>
  <c r="H270" i="1"/>
  <c r="F270" i="1"/>
  <c r="E270" i="1"/>
  <c r="D270" i="1"/>
  <c r="C270" i="1"/>
  <c r="V161" i="1"/>
  <c r="U161" i="1"/>
  <c r="T161" i="1"/>
  <c r="S161" i="1"/>
  <c r="Q161" i="1"/>
  <c r="K161" i="1"/>
  <c r="J161" i="1"/>
  <c r="E161" i="1"/>
  <c r="D161" i="1"/>
  <c r="C161" i="1"/>
  <c r="X33" i="1"/>
  <c r="V33" i="1"/>
  <c r="U33" i="1"/>
  <c r="T33" i="1"/>
  <c r="S33" i="1"/>
  <c r="R33" i="1"/>
  <c r="Q33" i="1"/>
  <c r="P33" i="1"/>
  <c r="O33" i="1"/>
  <c r="N33" i="1"/>
  <c r="M33" i="1"/>
  <c r="L33" i="1"/>
  <c r="I33" i="1"/>
  <c r="K33" i="1"/>
  <c r="J33" i="1"/>
  <c r="H33" i="1"/>
  <c r="F33" i="1"/>
  <c r="C33" i="1"/>
  <c r="D58" i="1" l="1"/>
  <c r="W39" i="1"/>
  <c r="W58" i="1" s="1"/>
  <c r="Z58" i="1"/>
  <c r="AA58" i="1"/>
  <c r="G33" i="1"/>
  <c r="E33" i="1" l="1"/>
  <c r="AH268" i="1" l="1"/>
  <c r="AC268" i="1"/>
  <c r="AB268" i="1"/>
  <c r="T268" i="1"/>
  <c r="S268" i="1"/>
  <c r="P268" i="1"/>
  <c r="O268" i="1"/>
  <c r="L268" i="1"/>
  <c r="K268" i="1"/>
  <c r="J268" i="1"/>
  <c r="I268" i="1"/>
  <c r="H268" i="1"/>
  <c r="F268" i="1"/>
  <c r="E268" i="1"/>
  <c r="D268" i="1"/>
  <c r="C268" i="1"/>
  <c r="S159" i="1"/>
  <c r="K159" i="1"/>
  <c r="J159" i="1"/>
  <c r="E159" i="1"/>
  <c r="D159" i="1"/>
  <c r="C159" i="1"/>
  <c r="U31" i="1"/>
  <c r="N31" i="1"/>
  <c r="M31" i="1"/>
  <c r="L31" i="1"/>
  <c r="K31" i="1"/>
  <c r="J31" i="1"/>
  <c r="I31" i="1"/>
  <c r="H31" i="1"/>
  <c r="G31" i="1"/>
  <c r="F31" i="1"/>
  <c r="E31" i="1"/>
  <c r="C31" i="1"/>
  <c r="AH266" i="1" l="1"/>
  <c r="AC266" i="1"/>
  <c r="AB266" i="1"/>
  <c r="AA266" i="1"/>
  <c r="T266" i="1"/>
  <c r="S266" i="1"/>
  <c r="P266" i="1"/>
  <c r="O266" i="1"/>
  <c r="L266" i="1"/>
  <c r="K266" i="1"/>
  <c r="J266" i="1"/>
  <c r="I266" i="1"/>
  <c r="H266" i="1"/>
  <c r="F266" i="1"/>
  <c r="E266" i="1"/>
  <c r="D266" i="1"/>
  <c r="C266" i="1"/>
  <c r="V157" i="1"/>
  <c r="U157" i="1"/>
  <c r="T157" i="1"/>
  <c r="S157" i="1"/>
  <c r="Q157" i="1"/>
  <c r="K157" i="1"/>
  <c r="J157" i="1"/>
  <c r="E157" i="1"/>
  <c r="D157" i="1"/>
  <c r="C157" i="1"/>
  <c r="V29" i="1"/>
  <c r="U29" i="1"/>
  <c r="T29" i="1"/>
  <c r="S29" i="1"/>
  <c r="R29" i="1"/>
  <c r="Q29" i="1"/>
  <c r="P29" i="1"/>
  <c r="O29" i="1"/>
  <c r="N29" i="1"/>
  <c r="M29" i="1"/>
  <c r="L29" i="1"/>
  <c r="I29" i="1"/>
  <c r="K29" i="1"/>
  <c r="J29" i="1"/>
  <c r="H29" i="1"/>
  <c r="G29" i="1"/>
  <c r="F29" i="1"/>
  <c r="E29" i="1"/>
  <c r="C29" i="1"/>
  <c r="X29" i="1" l="1"/>
  <c r="AH264" i="1" l="1"/>
  <c r="AC264" i="1"/>
  <c r="AB264" i="1"/>
  <c r="AA264" i="1"/>
  <c r="T264" i="1"/>
  <c r="S264" i="1"/>
  <c r="P264" i="1"/>
  <c r="O264" i="1"/>
  <c r="L264" i="1"/>
  <c r="K264" i="1"/>
  <c r="J264" i="1"/>
  <c r="I264" i="1"/>
  <c r="H264" i="1"/>
  <c r="F264" i="1"/>
  <c r="E264" i="1"/>
  <c r="D264" i="1"/>
  <c r="C264" i="1"/>
  <c r="V155" i="1"/>
  <c r="U155" i="1"/>
  <c r="T155" i="1"/>
  <c r="S155" i="1"/>
  <c r="Q155" i="1"/>
  <c r="K155" i="1"/>
  <c r="J155" i="1"/>
  <c r="E155" i="1"/>
  <c r="D155" i="1"/>
  <c r="C155" i="1"/>
  <c r="V27" i="1"/>
  <c r="U27" i="1"/>
  <c r="T27" i="1"/>
  <c r="S27" i="1"/>
  <c r="R27" i="1"/>
  <c r="Q27" i="1"/>
  <c r="P27" i="1"/>
  <c r="O27" i="1"/>
  <c r="N27" i="1"/>
  <c r="M27" i="1"/>
  <c r="L27" i="1"/>
  <c r="I27" i="1"/>
  <c r="K27" i="1"/>
  <c r="J27" i="1"/>
  <c r="H27" i="1"/>
  <c r="G27" i="1"/>
  <c r="F27" i="1"/>
  <c r="E27" i="1"/>
  <c r="C27" i="1"/>
  <c r="X27" i="1" l="1"/>
  <c r="AH262" i="1" l="1"/>
  <c r="AC262" i="1"/>
  <c r="AB262" i="1"/>
  <c r="T262" i="1"/>
  <c r="L262" i="1"/>
  <c r="K262" i="1"/>
  <c r="J262" i="1"/>
  <c r="I262" i="1"/>
  <c r="H262" i="1"/>
  <c r="F262" i="1"/>
  <c r="E262" i="1"/>
  <c r="D262" i="1"/>
  <c r="C262" i="1"/>
  <c r="V153" i="1"/>
  <c r="U153" i="1"/>
  <c r="T153" i="1"/>
  <c r="S153" i="1"/>
  <c r="Q153" i="1"/>
  <c r="K153" i="1"/>
  <c r="J153" i="1"/>
  <c r="E153" i="1"/>
  <c r="D153" i="1"/>
  <c r="C153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F25" i="1"/>
  <c r="E25" i="1"/>
  <c r="C25" i="1"/>
  <c r="X25" i="1" l="1"/>
  <c r="G25" i="1"/>
  <c r="AH260" i="1" l="1"/>
  <c r="AC260" i="1"/>
  <c r="AB260" i="1"/>
  <c r="T260" i="1"/>
  <c r="S260" i="1"/>
  <c r="L260" i="1"/>
  <c r="K260" i="1"/>
  <c r="J260" i="1"/>
  <c r="I260" i="1"/>
  <c r="H260" i="1"/>
  <c r="F260" i="1"/>
  <c r="E260" i="1"/>
  <c r="D260" i="1"/>
  <c r="C260" i="1"/>
  <c r="V151" i="1"/>
  <c r="U151" i="1"/>
  <c r="T151" i="1"/>
  <c r="S151" i="1"/>
  <c r="Q151" i="1"/>
  <c r="K151" i="1"/>
  <c r="J151" i="1"/>
  <c r="E151" i="1"/>
  <c r="D151" i="1"/>
  <c r="C151" i="1"/>
  <c r="X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C23" i="1"/>
  <c r="AH258" i="1" l="1"/>
  <c r="AC258" i="1"/>
  <c r="AB258" i="1"/>
  <c r="T258" i="1"/>
  <c r="S258" i="1"/>
  <c r="L258" i="1"/>
  <c r="K258" i="1"/>
  <c r="J258" i="1"/>
  <c r="I258" i="1"/>
  <c r="H258" i="1"/>
  <c r="F258" i="1"/>
  <c r="E258" i="1"/>
  <c r="D258" i="1"/>
  <c r="C258" i="1"/>
  <c r="V149" i="1"/>
  <c r="U149" i="1"/>
  <c r="T149" i="1"/>
  <c r="S149" i="1"/>
  <c r="Q149" i="1"/>
  <c r="K149" i="1"/>
  <c r="J149" i="1"/>
  <c r="E149" i="1"/>
  <c r="D149" i="1"/>
  <c r="C149" i="1"/>
  <c r="X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AH256" i="1" l="1"/>
  <c r="AC256" i="1"/>
  <c r="AB256" i="1"/>
  <c r="T256" i="1"/>
  <c r="L256" i="1"/>
  <c r="K256" i="1"/>
  <c r="J256" i="1"/>
  <c r="I256" i="1"/>
  <c r="H256" i="1"/>
  <c r="F256" i="1"/>
  <c r="E256" i="1"/>
  <c r="D256" i="1"/>
  <c r="C256" i="1"/>
  <c r="V147" i="1"/>
  <c r="U147" i="1"/>
  <c r="T147" i="1"/>
  <c r="S147" i="1"/>
  <c r="Q147" i="1"/>
  <c r="K147" i="1"/>
  <c r="J147" i="1"/>
  <c r="E147" i="1"/>
  <c r="D147" i="1"/>
  <c r="C147" i="1"/>
  <c r="X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H19" i="1"/>
  <c r="I19" i="1"/>
  <c r="G19" i="1"/>
  <c r="F19" i="1"/>
  <c r="E19" i="1"/>
  <c r="C19" i="1"/>
  <c r="AH254" i="1" l="1"/>
  <c r="AC254" i="1"/>
  <c r="AB254" i="1"/>
  <c r="T254" i="1"/>
  <c r="S254" i="1"/>
  <c r="P254" i="1"/>
  <c r="O254" i="1"/>
  <c r="L254" i="1"/>
  <c r="K254" i="1"/>
  <c r="J254" i="1"/>
  <c r="I254" i="1"/>
  <c r="H254" i="1"/>
  <c r="F254" i="1"/>
  <c r="E254" i="1"/>
  <c r="D254" i="1"/>
  <c r="C254" i="1"/>
  <c r="V145" i="1"/>
  <c r="U145" i="1"/>
  <c r="T145" i="1"/>
  <c r="S145" i="1"/>
  <c r="Q145" i="1"/>
  <c r="K145" i="1"/>
  <c r="J145" i="1"/>
  <c r="E145" i="1"/>
  <c r="D145" i="1"/>
  <c r="C145" i="1"/>
  <c r="X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C17" i="1"/>
  <c r="AH252" i="1" l="1"/>
  <c r="AC252" i="1"/>
  <c r="AB252" i="1"/>
  <c r="P252" i="1"/>
  <c r="O252" i="1"/>
  <c r="L252" i="1"/>
  <c r="K252" i="1"/>
  <c r="J252" i="1"/>
  <c r="I252" i="1"/>
  <c r="H252" i="1"/>
  <c r="F252" i="1"/>
  <c r="E252" i="1"/>
  <c r="D252" i="1"/>
  <c r="C252" i="1"/>
  <c r="V143" i="1"/>
  <c r="U143" i="1"/>
  <c r="T143" i="1"/>
  <c r="S143" i="1"/>
  <c r="Q143" i="1"/>
  <c r="K143" i="1"/>
  <c r="J143" i="1"/>
  <c r="E143" i="1"/>
  <c r="D143" i="1"/>
  <c r="C143" i="1"/>
  <c r="X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C15" i="1"/>
  <c r="AH250" i="1" l="1"/>
  <c r="AC250" i="1"/>
  <c r="AB250" i="1"/>
  <c r="L250" i="1"/>
  <c r="K250" i="1"/>
  <c r="I250" i="1"/>
  <c r="H250" i="1"/>
  <c r="F250" i="1"/>
  <c r="E250" i="1"/>
  <c r="D250" i="1"/>
  <c r="C250" i="1"/>
  <c r="V141" i="1"/>
  <c r="U141" i="1"/>
  <c r="T141" i="1"/>
  <c r="S141" i="1"/>
  <c r="Q141" i="1"/>
  <c r="K141" i="1"/>
  <c r="J141" i="1"/>
  <c r="E141" i="1"/>
  <c r="D141" i="1"/>
  <c r="C141" i="1"/>
  <c r="C139" i="1"/>
  <c r="D139" i="1"/>
  <c r="E139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C13" i="1"/>
  <c r="X13" i="1" l="1"/>
  <c r="AH248" i="1" l="1"/>
  <c r="AC248" i="1"/>
  <c r="AB248" i="1"/>
  <c r="T248" i="1"/>
  <c r="S248" i="1"/>
  <c r="L248" i="1"/>
  <c r="K248" i="1"/>
  <c r="J248" i="1"/>
  <c r="I248" i="1"/>
  <c r="H248" i="1"/>
  <c r="F248" i="1"/>
  <c r="E248" i="1"/>
  <c r="D248" i="1"/>
  <c r="C248" i="1"/>
  <c r="V139" i="1"/>
  <c r="U139" i="1"/>
  <c r="T139" i="1"/>
  <c r="S139" i="1"/>
  <c r="Q139" i="1"/>
  <c r="K139" i="1"/>
  <c r="U11" i="1"/>
  <c r="X11" i="1"/>
  <c r="V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C11" i="1"/>
  <c r="AH246" i="1" l="1"/>
  <c r="AC246" i="1"/>
  <c r="AB246" i="1"/>
  <c r="T246" i="1"/>
  <c r="S246" i="1"/>
  <c r="P246" i="1"/>
  <c r="O246" i="1"/>
  <c r="L246" i="1"/>
  <c r="K246" i="1"/>
  <c r="J246" i="1"/>
  <c r="I246" i="1"/>
  <c r="H246" i="1"/>
  <c r="F246" i="1"/>
  <c r="E246" i="1"/>
  <c r="D246" i="1"/>
  <c r="C246" i="1"/>
  <c r="V137" i="1"/>
  <c r="U137" i="1"/>
  <c r="T137" i="1"/>
  <c r="S137" i="1"/>
  <c r="Q137" i="1"/>
  <c r="K137" i="1"/>
  <c r="J137" i="1"/>
  <c r="E137" i="1"/>
  <c r="D137" i="1"/>
  <c r="C137" i="1"/>
  <c r="X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F9" i="1"/>
  <c r="E9" i="1"/>
  <c r="C9" i="1"/>
  <c r="G9" i="1" l="1"/>
  <c r="Y34" i="1" l="1"/>
  <c r="Y106" i="1" s="1"/>
  <c r="AH244" i="1"/>
  <c r="AC244" i="1"/>
  <c r="T244" i="1"/>
  <c r="S244" i="1"/>
  <c r="P244" i="1"/>
  <c r="O244" i="1"/>
  <c r="L244" i="1"/>
  <c r="K244" i="1"/>
  <c r="J244" i="1"/>
  <c r="I244" i="1"/>
  <c r="H244" i="1"/>
  <c r="F244" i="1"/>
  <c r="E244" i="1"/>
  <c r="D244" i="1"/>
  <c r="C244" i="1"/>
  <c r="V135" i="1"/>
  <c r="U135" i="1"/>
  <c r="T135" i="1"/>
  <c r="S135" i="1"/>
  <c r="Q135" i="1"/>
  <c r="K135" i="1"/>
  <c r="J135" i="1"/>
  <c r="E135" i="1"/>
  <c r="D135" i="1"/>
  <c r="C135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C7" i="1"/>
  <c r="X7" i="1" l="1"/>
  <c r="AD279" i="1" l="1"/>
  <c r="AH242" i="1"/>
  <c r="AC242" i="1"/>
  <c r="AC271" i="1" s="1"/>
  <c r="AB242" i="1"/>
  <c r="AB271" i="1" s="1"/>
  <c r="AB361" i="1" s="1"/>
  <c r="AA242" i="1"/>
  <c r="AA271" i="1" s="1"/>
  <c r="Y242" i="1"/>
  <c r="Y271" i="1" s="1"/>
  <c r="Y361" i="1" s="1"/>
  <c r="X242" i="1"/>
  <c r="W242" i="1"/>
  <c r="T242" i="1"/>
  <c r="T271" i="1" s="1"/>
  <c r="T361" i="1" s="1"/>
  <c r="S242" i="1"/>
  <c r="P242" i="1"/>
  <c r="O242" i="1"/>
  <c r="L242" i="1"/>
  <c r="K242" i="1"/>
  <c r="J242" i="1"/>
  <c r="I242" i="1"/>
  <c r="H242" i="1"/>
  <c r="F242" i="1"/>
  <c r="E242" i="1"/>
  <c r="D242" i="1"/>
  <c r="Y133" i="1"/>
  <c r="X133" i="1"/>
  <c r="V133" i="1"/>
  <c r="U133" i="1"/>
  <c r="T133" i="1"/>
  <c r="S133" i="1"/>
  <c r="S162" i="1" s="1"/>
  <c r="S234" i="1" s="1"/>
  <c r="C110" i="1" s="1"/>
  <c r="Q133" i="1"/>
  <c r="K133" i="1"/>
  <c r="J133" i="1"/>
  <c r="E133" i="1"/>
  <c r="D133" i="1"/>
  <c r="D162" i="1" s="1"/>
  <c r="D234" i="1" s="1"/>
  <c r="C133" i="1"/>
  <c r="C162" i="1" s="1"/>
  <c r="C234" i="1" s="1"/>
  <c r="X5" i="1"/>
  <c r="X34" i="1" s="1"/>
  <c r="X106" i="1" s="1"/>
  <c r="C114" i="1" s="1"/>
  <c r="V5" i="1"/>
  <c r="U5" i="1"/>
  <c r="U34" i="1" s="1"/>
  <c r="U106" i="1" s="1"/>
  <c r="C117" i="1" s="1"/>
  <c r="J116" i="1" s="1"/>
  <c r="C124" i="1" s="1"/>
  <c r="T5" i="1"/>
  <c r="S5" i="1"/>
  <c r="R5" i="1"/>
  <c r="Q5" i="1"/>
  <c r="P5" i="1"/>
  <c r="O5" i="1"/>
  <c r="N5" i="1"/>
  <c r="N34" i="1" s="1"/>
  <c r="N106" i="1" s="1"/>
  <c r="M5" i="1"/>
  <c r="M34" i="1" s="1"/>
  <c r="M106" i="1" s="1"/>
  <c r="L5" i="1"/>
  <c r="L34" i="1" s="1"/>
  <c r="L106" i="1" s="1"/>
  <c r="K5" i="1"/>
  <c r="K34" i="1" s="1"/>
  <c r="K67" i="1" s="1"/>
  <c r="K106" i="1" s="1"/>
  <c r="J5" i="1"/>
  <c r="J34" i="1" s="1"/>
  <c r="J67" i="1" s="1"/>
  <c r="J106" i="1" s="1"/>
  <c r="I5" i="1"/>
  <c r="I34" i="1" s="1"/>
  <c r="I106" i="1" s="1"/>
  <c r="H5" i="1"/>
  <c r="H34" i="1" s="1"/>
  <c r="H106" i="1" s="1"/>
  <c r="G5" i="1"/>
  <c r="G34" i="1" s="1"/>
  <c r="G67" i="1" s="1"/>
  <c r="F5" i="1"/>
  <c r="F34" i="1" s="1"/>
  <c r="F67" i="1" s="1"/>
  <c r="E5" i="1"/>
  <c r="E34" i="1" s="1"/>
  <c r="E106" i="1" s="1"/>
  <c r="C5" i="1"/>
  <c r="C34" i="1" s="1"/>
  <c r="C106" i="1" s="1"/>
  <c r="M496" i="1"/>
  <c r="M501" i="1" s="1"/>
  <c r="M409" i="1"/>
  <c r="AC356" i="1"/>
  <c r="F356" i="1"/>
  <c r="AD302" i="1"/>
  <c r="AD307" i="1" s="1"/>
  <c r="AD277" i="1"/>
  <c r="L408" i="1"/>
  <c r="L500" i="1" s="1"/>
  <c r="M408" i="1"/>
  <c r="M500" i="1" s="1"/>
  <c r="Z33" i="1"/>
  <c r="AA33" i="1" s="1"/>
  <c r="Z29" i="1"/>
  <c r="AA29" i="1" s="1"/>
  <c r="Z27" i="1"/>
  <c r="AA27" i="1" s="1"/>
  <c r="Z25" i="1"/>
  <c r="AA25" i="1" s="1"/>
  <c r="Z23" i="1"/>
  <c r="AA23" i="1" s="1"/>
  <c r="Z21" i="1"/>
  <c r="AA21" i="1" s="1"/>
  <c r="Z19" i="1"/>
  <c r="AA19" i="1" s="1"/>
  <c r="Z17" i="1"/>
  <c r="AA17" i="1" s="1"/>
  <c r="Z15" i="1"/>
  <c r="AA15" i="1" s="1"/>
  <c r="Z13" i="1"/>
  <c r="AA13" i="1" s="1"/>
  <c r="Z11" i="1"/>
  <c r="AA11" i="1" s="1"/>
  <c r="Z9" i="1"/>
  <c r="AA9" i="1" s="1"/>
  <c r="Z7" i="1"/>
  <c r="AA7" i="1" s="1"/>
  <c r="AC361" i="1" l="1"/>
  <c r="AD296" i="1"/>
  <c r="D117" i="1"/>
  <c r="Z5" i="1"/>
  <c r="AA5" i="1" s="1"/>
  <c r="D29" i="1" l="1"/>
  <c r="K408" i="1"/>
  <c r="K500" i="1" s="1"/>
  <c r="I408" i="1"/>
  <c r="I500" i="1" s="1"/>
  <c r="J408" i="1"/>
  <c r="J500" i="1" s="1"/>
  <c r="AD270" i="1" l="1"/>
  <c r="W33" i="1"/>
  <c r="H162" i="1"/>
  <c r="H234" i="1" s="1"/>
  <c r="D33" i="1" l="1"/>
  <c r="J162" i="1" l="1"/>
  <c r="J234" i="1" s="1"/>
  <c r="K409" i="1" l="1"/>
  <c r="K501" i="1" s="1"/>
  <c r="J409" i="1"/>
  <c r="J501" i="1" s="1"/>
  <c r="I409" i="1"/>
  <c r="I501" i="1" s="1"/>
  <c r="H409" i="1"/>
  <c r="H501" i="1" s="1"/>
  <c r="G409" i="1"/>
  <c r="G501" i="1" s="1"/>
  <c r="H408" i="1"/>
  <c r="H500" i="1" s="1"/>
  <c r="G408" i="1"/>
  <c r="G500" i="1" s="1"/>
  <c r="F408" i="1"/>
  <c r="F500" i="1" s="1"/>
  <c r="E408" i="1"/>
  <c r="E500" i="1" s="1"/>
  <c r="D408" i="1"/>
  <c r="D500" i="1" s="1"/>
  <c r="C408" i="1"/>
  <c r="C500" i="1" s="1"/>
  <c r="P159" i="1"/>
  <c r="D31" i="1" l="1"/>
  <c r="O159" i="1"/>
  <c r="AD268" i="1"/>
  <c r="G159" i="1" l="1"/>
  <c r="L159" i="1" l="1"/>
  <c r="N159" i="1"/>
  <c r="F162" i="1" l="1"/>
  <c r="F234" i="1" s="1"/>
  <c r="AA307" i="1" l="1"/>
  <c r="AA361" i="1" s="1"/>
  <c r="AD266" i="1" l="1"/>
  <c r="AD264" i="1"/>
  <c r="AD262" i="1"/>
  <c r="AD260" i="1"/>
  <c r="AD258" i="1"/>
  <c r="AD256" i="1"/>
  <c r="AD254" i="1"/>
  <c r="AD252" i="1"/>
  <c r="AD250" i="1"/>
  <c r="AD248" i="1"/>
  <c r="AD246" i="1" l="1"/>
  <c r="F271" i="1" l="1"/>
  <c r="F361" i="1" s="1"/>
  <c r="AD244" i="1" l="1"/>
  <c r="AD242" i="1" l="1"/>
  <c r="AD271" i="1" s="1"/>
  <c r="AD361" i="1" s="1"/>
  <c r="C115" i="1" s="1"/>
  <c r="W27" i="1" l="1"/>
  <c r="P155" i="1"/>
  <c r="W25" i="1"/>
  <c r="P153" i="1"/>
  <c r="W23" i="1"/>
  <c r="P151" i="1"/>
  <c r="W29" i="1"/>
  <c r="P157" i="1"/>
  <c r="O151" i="1" l="1"/>
  <c r="G151" i="1"/>
  <c r="O157" i="1"/>
  <c r="G157" i="1"/>
  <c r="O153" i="1"/>
  <c r="G153" i="1"/>
  <c r="N153" i="1" s="1"/>
  <c r="O155" i="1"/>
  <c r="G155" i="1"/>
  <c r="W21" i="1"/>
  <c r="P149" i="1"/>
  <c r="W19" i="1"/>
  <c r="P147" i="1"/>
  <c r="W17" i="1"/>
  <c r="P145" i="1"/>
  <c r="W15" i="1"/>
  <c r="P143" i="1"/>
  <c r="W13" i="1"/>
  <c r="P141" i="1"/>
  <c r="W11" i="1"/>
  <c r="P139" i="1"/>
  <c r="O149" i="1" l="1"/>
  <c r="G149" i="1"/>
  <c r="N155" i="1"/>
  <c r="O141" i="1"/>
  <c r="G141" i="1"/>
  <c r="N141" i="1" s="1"/>
  <c r="O145" i="1"/>
  <c r="G145" i="1"/>
  <c r="N157" i="1"/>
  <c r="O143" i="1"/>
  <c r="G143" i="1"/>
  <c r="N143" i="1" s="1"/>
  <c r="O139" i="1"/>
  <c r="G139" i="1"/>
  <c r="N139" i="1" s="1"/>
  <c r="O147" i="1"/>
  <c r="G147" i="1"/>
  <c r="N151" i="1"/>
  <c r="W9" i="1"/>
  <c r="P137" i="1"/>
  <c r="W7" i="1"/>
  <c r="P135" i="1"/>
  <c r="W5" i="1" l="1"/>
  <c r="E162" i="1"/>
  <c r="E234" i="1" s="1"/>
  <c r="I133" i="1"/>
  <c r="O133" i="1"/>
  <c r="P133" i="1"/>
  <c r="O137" i="1"/>
  <c r="G137" i="1"/>
  <c r="N137" i="1" s="1"/>
  <c r="G133" i="1"/>
  <c r="N149" i="1"/>
  <c r="O135" i="1"/>
  <c r="G135" i="1"/>
  <c r="N145" i="1"/>
  <c r="N147" i="1"/>
  <c r="N133" i="1" l="1"/>
  <c r="N135" i="1"/>
  <c r="I139" i="1" l="1"/>
  <c r="L139" i="1"/>
  <c r="D11" i="1" l="1"/>
  <c r="L133" i="1"/>
  <c r="I157" i="1"/>
  <c r="L157" i="1"/>
  <c r="I151" i="1" l="1"/>
  <c r="L151" i="1"/>
  <c r="D23" i="1" l="1"/>
  <c r="L147" i="1" l="1"/>
  <c r="I155" i="1" l="1"/>
  <c r="L155" i="1"/>
  <c r="D27" i="1" l="1"/>
  <c r="D5" i="1"/>
  <c r="I153" i="1" l="1"/>
  <c r="L153" i="1"/>
  <c r="D25" i="1"/>
  <c r="I149" i="1" l="1"/>
  <c r="L149" i="1"/>
  <c r="D21" i="1" l="1"/>
  <c r="I147" i="1"/>
  <c r="D19" i="1" l="1"/>
  <c r="I145" i="1"/>
  <c r="L145" i="1"/>
  <c r="D17" i="1" l="1"/>
  <c r="I143" i="1"/>
  <c r="L143" i="1"/>
  <c r="D15" i="1" l="1"/>
  <c r="I141" i="1"/>
  <c r="L141" i="1"/>
  <c r="D13" i="1" l="1"/>
  <c r="I137" i="1"/>
  <c r="L137" i="1"/>
  <c r="D9" i="1" l="1"/>
  <c r="D7" i="1" l="1"/>
  <c r="D34" i="1" s="1"/>
  <c r="D106" i="1" s="1"/>
  <c r="I135" i="1"/>
  <c r="L135" i="1"/>
  <c r="L162" i="1" l="1"/>
  <c r="L234" i="1" s="1"/>
  <c r="P161" i="1"/>
  <c r="P162" i="1" s="1"/>
  <c r="P234" i="1" s="1"/>
  <c r="O161" i="1"/>
  <c r="O162" i="1" l="1"/>
  <c r="O234" i="1" s="1"/>
  <c r="G58" i="1"/>
  <c r="G106" i="1" s="1"/>
  <c r="F58" i="1" l="1"/>
  <c r="F106" i="1" s="1"/>
  <c r="G162" i="1" l="1"/>
  <c r="G234" i="1" s="1"/>
  <c r="N161" i="1"/>
  <c r="N162" i="1" l="1"/>
  <c r="N234" i="1" s="1"/>
  <c r="T159" i="1" l="1"/>
  <c r="T162" i="1" s="1"/>
  <c r="T234" i="1" s="1"/>
  <c r="U159" i="1" l="1"/>
  <c r="U162" i="1" s="1"/>
  <c r="U234" i="1" s="1"/>
  <c r="T31" i="1"/>
  <c r="T34" i="1" s="1"/>
  <c r="T106" i="1" s="1"/>
  <c r="V159" i="1" l="1"/>
  <c r="V162" i="1" s="1"/>
  <c r="V234" i="1" s="1"/>
  <c r="O31" i="1"/>
  <c r="O34" i="1" s="1"/>
  <c r="O106" i="1" s="1"/>
  <c r="P31" i="1" l="1"/>
  <c r="Q31" i="1"/>
  <c r="Q34" i="1" s="1"/>
  <c r="Q106" i="1" s="1"/>
  <c r="C111" i="1" s="1"/>
  <c r="S31" i="1" l="1"/>
  <c r="S34" i="1" s="1"/>
  <c r="S106" i="1" s="1"/>
  <c r="V31" i="1"/>
  <c r="P34" i="1"/>
  <c r="P106" i="1" s="1"/>
  <c r="I159" i="1"/>
  <c r="I162" i="1" s="1"/>
  <c r="I234" i="1" s="1"/>
  <c r="Q159" i="1"/>
  <c r="Q162" i="1" s="1"/>
  <c r="Q234" i="1" s="1"/>
  <c r="R31" i="1"/>
  <c r="R34" i="1" s="1"/>
  <c r="R106" i="1" s="1"/>
  <c r="Z31" i="1" l="1"/>
  <c r="V34" i="1"/>
  <c r="V106" i="1" s="1"/>
  <c r="W31" i="1"/>
  <c r="W34" i="1" s="1"/>
  <c r="W106" i="1" s="1"/>
  <c r="AA31" i="1" l="1"/>
  <c r="AA34" i="1" s="1"/>
  <c r="AA106" i="1" s="1"/>
  <c r="C113" i="1" s="1"/>
  <c r="Z34" i="1"/>
  <c r="Z106" i="1" s="1"/>
  <c r="C112" i="1" l="1"/>
  <c r="C122" i="1" s="1"/>
  <c r="D120" i="1"/>
  <c r="C125" i="1" l="1"/>
  <c r="C126" i="1" s="1"/>
  <c r="C123" i="1"/>
</calcChain>
</file>

<file path=xl/sharedStrings.xml><?xml version="1.0" encoding="utf-8"?>
<sst xmlns="http://schemas.openxmlformats.org/spreadsheetml/2006/main" count="1100" uniqueCount="241">
  <si>
    <t>Total number of units</t>
  </si>
  <si>
    <t>Gross monthly income</t>
  </si>
  <si>
    <t>Gross yearly income</t>
  </si>
  <si>
    <t>NOI</t>
  </si>
  <si>
    <t>Loan amount</t>
  </si>
  <si>
    <t>Interest rate</t>
  </si>
  <si>
    <t>CAP rate</t>
  </si>
  <si>
    <t>Cash on cash</t>
  </si>
  <si>
    <t>Total:</t>
  </si>
  <si>
    <t>Average</t>
  </si>
  <si>
    <t>Average interest rate:</t>
  </si>
  <si>
    <t>Average CAP rate:</t>
  </si>
  <si>
    <t>Operating Expenses</t>
  </si>
  <si>
    <t>Cash on cash including principal</t>
  </si>
  <si>
    <t>occupied unit</t>
  </si>
  <si>
    <t>occupied SF</t>
  </si>
  <si>
    <t>vacant unit</t>
  </si>
  <si>
    <t>vacant SF</t>
  </si>
  <si>
    <t>Potential rental income</t>
  </si>
  <si>
    <t>407 N Arkansas Ave, Russellville, AR 72801</t>
  </si>
  <si>
    <t>500 E Patton Ave, Montgomery, AL 36111</t>
  </si>
  <si>
    <t>638 W Main St, Jacksonville, AR 72076</t>
  </si>
  <si>
    <t>1128 Beville Rd, Daytona Beach, FL 32114</t>
  </si>
  <si>
    <t>1210 N Nova Rd, Daytona Beach, FL 32117</t>
  </si>
  <si>
    <t>2505 S Main St, Moultrie, GA 31768</t>
  </si>
  <si>
    <t>2619 Pike Ave, North Little Rock, AR 72114</t>
  </si>
  <si>
    <t>2851 Edgewood Ave N, Jacksonville, FL 32254</t>
  </si>
  <si>
    <t>3118 Edgewood Ave W, Jacksonville, FL 32209</t>
  </si>
  <si>
    <t>5451 &amp; 5301 Norwood Ave, Jacksonville, FL 32208</t>
  </si>
  <si>
    <t>5848 Norwood Ave, Jacksonville 32208</t>
  </si>
  <si>
    <t>8148-8198 Hamilton Ave Cincinnati, OH 45231</t>
  </si>
  <si>
    <t xml:space="preserve">Building size (SF) </t>
  </si>
  <si>
    <t>3555 Mercer University Dr, Macon, GA 31204</t>
  </si>
  <si>
    <t xml:space="preserve">  </t>
  </si>
  <si>
    <t>Occupancy % by SF</t>
  </si>
  <si>
    <t>Occupancy % by unit</t>
  </si>
  <si>
    <t>Vacancy % by SF</t>
  </si>
  <si>
    <t>Vacancy % by unit</t>
  </si>
  <si>
    <t>Free cash flow month</t>
  </si>
  <si>
    <t>Free cash flow Year</t>
  </si>
  <si>
    <t>Potential rental income:</t>
  </si>
  <si>
    <t>Property tax</t>
  </si>
  <si>
    <t>Efectiv date</t>
  </si>
  <si>
    <t>Liability amount</t>
  </si>
  <si>
    <t>Liability Deductible</t>
  </si>
  <si>
    <t>Dwelling amount</t>
  </si>
  <si>
    <t>Amount by</t>
  </si>
  <si>
    <t>insurance per SF</t>
  </si>
  <si>
    <t>Dwelling Deductible</t>
  </si>
  <si>
    <t>Coinsurance</t>
  </si>
  <si>
    <t>Wind insurance</t>
  </si>
  <si>
    <t>Wind deductible</t>
  </si>
  <si>
    <t>Wind deductible by %</t>
  </si>
  <si>
    <t>Lost renters insurance</t>
  </si>
  <si>
    <t xml:space="preserve"> Lost renters insurance limit</t>
  </si>
  <si>
    <t>Flood insurance</t>
  </si>
  <si>
    <t>Flood coverage amount</t>
  </si>
  <si>
    <t>Flood deductible</t>
  </si>
  <si>
    <t>Taxes &amp; fees</t>
  </si>
  <si>
    <t>Finance charge</t>
  </si>
  <si>
    <t>Annual financial charge rate</t>
  </si>
  <si>
    <t>Passed clames</t>
  </si>
  <si>
    <t>Active clame</t>
  </si>
  <si>
    <t>Flood cost</t>
  </si>
  <si>
    <t>Dwelling cost</t>
  </si>
  <si>
    <t>Liability cost</t>
  </si>
  <si>
    <t>Agent</t>
  </si>
  <si>
    <t>Coments</t>
  </si>
  <si>
    <t>Total insurance cost</t>
  </si>
  <si>
    <t>Flood insurance too high, need to reduce price.</t>
  </si>
  <si>
    <t>Need to finish clame and reduce price of insurance.</t>
  </si>
  <si>
    <r>
      <t xml:space="preserve">Liability included in dweling price / </t>
    </r>
    <r>
      <rPr>
        <sz val="11"/>
        <color rgb="FFFF0000"/>
        <rFont val="Arial"/>
        <family val="2"/>
        <scheme val="minor"/>
      </rPr>
      <t>Bank offered 17k including wind</t>
    </r>
  </si>
  <si>
    <t xml:space="preserve">There is accessive liability and needs to be reduced. </t>
  </si>
  <si>
    <t>No reccord</t>
  </si>
  <si>
    <t>Purchas date</t>
  </si>
  <si>
    <t>Parcial #</t>
  </si>
  <si>
    <t>#  1009304013001.002</t>
  </si>
  <si>
    <t>#   851-00158-001C</t>
  </si>
  <si>
    <t>#   12J0270009800</t>
  </si>
  <si>
    <t>#   534005220060</t>
  </si>
  <si>
    <t>#   424401200072</t>
  </si>
  <si>
    <t>#   M040 120</t>
  </si>
  <si>
    <t xml:space="preserve">#   M041 001	</t>
  </si>
  <si>
    <t>#   33N2270000500</t>
  </si>
  <si>
    <t>#   084003-0000</t>
  </si>
  <si>
    <t>Total paid by us:</t>
  </si>
  <si>
    <t>#   083998-0005</t>
  </si>
  <si>
    <t>2851 land in the back</t>
  </si>
  <si>
    <t>#   041918-5010</t>
  </si>
  <si>
    <t>5451 Norwood Ave, Jacksonville, FL 32208</t>
  </si>
  <si>
    <t>5301 Norwood Ave, Jacksonville, FL 32208</t>
  </si>
  <si>
    <t>#   029936-0100</t>
  </si>
  <si>
    <t>#   030038-0000</t>
  </si>
  <si>
    <t>#   029967-0010</t>
  </si>
  <si>
    <t>15/10/2020</t>
  </si>
  <si>
    <t>#   593-0002-0225-00</t>
  </si>
  <si>
    <t>8046 Hamilton Ave Cincinnati, OH 45231</t>
  </si>
  <si>
    <t>#   593-0009-0026-00</t>
  </si>
  <si>
    <t>#   593-0009-0001-00</t>
  </si>
  <si>
    <t>#   593-0002-0224-00</t>
  </si>
  <si>
    <t>#   N083-0132</t>
  </si>
  <si>
    <t>8050  Hamilton Ave Cincinnati, OH 45231</t>
  </si>
  <si>
    <t>Hamilton Ave Cincinnati, OH 45231</t>
  </si>
  <si>
    <t>Number of month to pay insurance:</t>
  </si>
  <si>
    <t>Number of month to pay property tax:</t>
  </si>
  <si>
    <t>Good</t>
  </si>
  <si>
    <t>Fair</t>
  </si>
  <si>
    <t>Down payment amount</t>
  </si>
  <si>
    <t xml:space="preserve"> of income</t>
  </si>
  <si>
    <t>Lender is insuring, need to change</t>
  </si>
  <si>
    <t>DCR</t>
  </si>
  <si>
    <t>#   029967-0020</t>
  </si>
  <si>
    <t>229 W General Screven Way, Hinesville, GA 31313</t>
  </si>
  <si>
    <t>Tax due date</t>
  </si>
  <si>
    <t>The insurance including wind is no good</t>
  </si>
  <si>
    <t>Mortgage</t>
  </si>
  <si>
    <t>Purchas price</t>
  </si>
  <si>
    <t>Curent  evaluation (Ariel)</t>
  </si>
  <si>
    <t>Evaluation by CAP rate</t>
  </si>
  <si>
    <t>Cost per SF</t>
  </si>
  <si>
    <t>Asset cost</t>
  </si>
  <si>
    <t>Loan to cost (LTC)</t>
  </si>
  <si>
    <t>Reset rate (No refi)</t>
  </si>
  <si>
    <t>Additional cost of debt /M</t>
  </si>
  <si>
    <t>Additional cost of debt /Y</t>
  </si>
  <si>
    <t>Interest payment / M</t>
  </si>
  <si>
    <t>Principal payment / M</t>
  </si>
  <si>
    <t>Mortgage payment /M</t>
  </si>
  <si>
    <t>Mortgage reset date</t>
  </si>
  <si>
    <t xml:space="preserve">Insurance </t>
  </si>
  <si>
    <t>Mortgage start date</t>
  </si>
  <si>
    <r>
      <t xml:space="preserve">Construction cost </t>
    </r>
    <r>
      <rPr>
        <b/>
        <sz val="11"/>
        <color rgb="FFFF0000"/>
        <rFont val="Arial"/>
        <family val="2"/>
        <scheme val="minor"/>
      </rPr>
      <t>12/31/2024</t>
    </r>
  </si>
  <si>
    <t>5 Yr + 2.75% on reset</t>
  </si>
  <si>
    <t>Prime +1% on reset and adjusts annually</t>
  </si>
  <si>
    <t xml:space="preserve">2.50% + weekly avg. 5 yr US Treasury + round up to the next 0.125% </t>
  </si>
  <si>
    <t>1% above the Wall Street Journal Prime Rate on reset date.  WSJ Prime Rate = Prime Rate on Corporate Loans posted by at least 70% of the 10 largest US Banks. New reset date = once a year.</t>
  </si>
  <si>
    <t xml:space="preserve">  Evaluation By Arppraisal (Bank)</t>
  </si>
  <si>
    <t>Appraisal date</t>
  </si>
  <si>
    <t>Lone to value "Ariel" (LTV)</t>
  </si>
  <si>
    <t>Lone to value "Bank" (LTV)</t>
  </si>
  <si>
    <t>1221 Grand Caillou Rd, Houma, LA 70363</t>
  </si>
  <si>
    <t>3 year fixed IO then raised to XXXX</t>
  </si>
  <si>
    <t>Y</t>
  </si>
  <si>
    <t>Need to take down price emediatly after loss runs clears in 16-18 month from purchas</t>
  </si>
  <si>
    <t>Management fees / Month:</t>
  </si>
  <si>
    <t>N</t>
  </si>
  <si>
    <t>Principal payment Year</t>
  </si>
  <si>
    <t>Building - Commercial partnership</t>
  </si>
  <si>
    <t>Building - Commercial privat</t>
  </si>
  <si>
    <t>No</t>
  </si>
  <si>
    <t>Yes</t>
  </si>
  <si>
    <t>?</t>
  </si>
  <si>
    <t>Building - residential</t>
  </si>
  <si>
    <t>2704 - 2728 Peach Orchard Rd, Augusta, GA 30906</t>
  </si>
  <si>
    <t>Y-centers (Ariel Yisraelian) - Global Vew</t>
  </si>
  <si>
    <t>64 w 21 st, Riviera Beach 33404</t>
  </si>
  <si>
    <t>955 Orange ave Daytona Beach, FL 32114</t>
  </si>
  <si>
    <t>2941 ne 3 st Ocala, FL 34470</t>
  </si>
  <si>
    <t>141 w 9 st, Jacksonville, FL 32206</t>
  </si>
  <si>
    <t>213 e 25 st, Riviera Beach 33404</t>
  </si>
  <si>
    <t>3651 Palm Dr, Riviera Beach, FL 33404</t>
  </si>
  <si>
    <t>Yeruham - Israel</t>
  </si>
  <si>
    <t>2456 nw 6 ct, Pompano Beach 33069</t>
  </si>
  <si>
    <t>2502 nw 6 st, Pompano Beach 33069</t>
  </si>
  <si>
    <t>2649 nw 8 st, Pompano Beach 33069</t>
  </si>
  <si>
    <t>620 w 7 st, Riviera Beach 33404</t>
  </si>
  <si>
    <t>752 w 6 st, Riviera Beach 33404</t>
  </si>
  <si>
    <t>1044 w 8 st, Riviera Beach 33404</t>
  </si>
  <si>
    <t>2031 nw 2 ct, Boynton Beach, FL 33435</t>
  </si>
  <si>
    <t>3319 ave j, Riviera Beach 33404</t>
  </si>
  <si>
    <t>701 w 7 st, Riviera Beach 33404</t>
  </si>
  <si>
    <t>140 w 14 st, Riviera Beach 33404</t>
  </si>
  <si>
    <t>507 w 29 st, Riviera Beach 33404</t>
  </si>
  <si>
    <t>1028 w 8 st, Riviera Beach 33404</t>
  </si>
  <si>
    <t>1036 w 8 st, Riviera Beach 33404</t>
  </si>
  <si>
    <t>1000 w 8 st, Riviera Beach 33404</t>
  </si>
  <si>
    <t>1060 w 8 st, Riviera Beach 33404</t>
  </si>
  <si>
    <t>2624 ave S #I,J,K,L, Riviera Beach 33404</t>
  </si>
  <si>
    <t>2624 ave S #M,N,P,Q, Riviera Beach 33404</t>
  </si>
  <si>
    <t>Managent fee cost</t>
  </si>
  <si>
    <t>Total combined:</t>
  </si>
  <si>
    <t>Total combined paid by us:</t>
  </si>
  <si>
    <t>Management company</t>
  </si>
  <si>
    <t>1317 w 33 st, Riviera Beach 33404</t>
  </si>
  <si>
    <t>Managent fee cost /M</t>
  </si>
  <si>
    <t>215 5th St SE, Moultrie, GA 31768</t>
  </si>
  <si>
    <t>Building - Commercial GP/LP</t>
  </si>
  <si>
    <t>Ariel Ownership %</t>
  </si>
  <si>
    <t>Ariel income Month</t>
  </si>
  <si>
    <t>Ariel income Year</t>
  </si>
  <si>
    <r>
      <t xml:space="preserve">3651 Palm Dr, Riviera Beach, FL 33404 </t>
    </r>
    <r>
      <rPr>
        <sz val="11"/>
        <color theme="5" tint="-0.249977111117893"/>
        <rFont val="Arial"/>
        <family val="2"/>
        <scheme val="minor"/>
      </rPr>
      <t>(Primary)</t>
    </r>
  </si>
  <si>
    <r>
      <t xml:space="preserve">Yeruham - Israel </t>
    </r>
    <r>
      <rPr>
        <sz val="11"/>
        <color theme="5" tint="-0.249977111117893"/>
        <rFont val="Arial"/>
        <family val="2"/>
        <scheme val="minor"/>
      </rPr>
      <t>(Primary)</t>
    </r>
  </si>
  <si>
    <t>Ariel free cash flow / Month:</t>
  </si>
  <si>
    <t>Ariel free cash flow / Year:</t>
  </si>
  <si>
    <t>Ariel repair &amp; Maintanace + CapEx / Month</t>
  </si>
  <si>
    <t>Ariel repair &amp; Maintanace + CapEx / Year</t>
  </si>
  <si>
    <t>Management expense / Month:</t>
  </si>
  <si>
    <t>Construction departement:</t>
  </si>
  <si>
    <t>Potential profit from management / Month:</t>
  </si>
  <si>
    <t>Potential profit from construction departement:</t>
  </si>
  <si>
    <t>16 acres land in Montgomary, Alabama</t>
  </si>
  <si>
    <t>Management proffit / Month:</t>
  </si>
  <si>
    <t>Total proffit / Month:</t>
  </si>
  <si>
    <t>Total proffit / Year:</t>
  </si>
  <si>
    <t>TBD</t>
  </si>
  <si>
    <t>#   056C 147</t>
  </si>
  <si>
    <t>#   22833</t>
  </si>
  <si>
    <t>#   22834</t>
  </si>
  <si>
    <t>#   59576</t>
  </si>
  <si>
    <t>#   22835</t>
  </si>
  <si>
    <t>#   983245000</t>
  </si>
  <si>
    <t>#   983248000</t>
  </si>
  <si>
    <t>#   M035 009</t>
  </si>
  <si>
    <t>#   1009304013001000</t>
  </si>
  <si>
    <t>#   1009304013001004</t>
  </si>
  <si>
    <t>#   56-43-42-28-24-003-0010</t>
  </si>
  <si>
    <t>#   523904170010</t>
  </si>
  <si>
    <t>#   2781-000-010</t>
  </si>
  <si>
    <t>#   071985-0010</t>
  </si>
  <si>
    <t>#   56-43-42-28-29-000-0480</t>
  </si>
  <si>
    <t>#   56-43-42-28-01-000-0090</t>
  </si>
  <si>
    <t>#   4842 33 04 1280</t>
  </si>
  <si>
    <t>#   4842 33 04 1070</t>
  </si>
  <si>
    <t>#   4842 33 05 1040</t>
  </si>
  <si>
    <t>#   56-43-42-32-01-037-0310</t>
  </si>
  <si>
    <t>#   56-43-42-32-01-041-0200</t>
  </si>
  <si>
    <t>#   56-43-42-32-01-024-0250</t>
  </si>
  <si>
    <t>#   08-43-45-16-01-025-0130</t>
  </si>
  <si>
    <t>#   56-43-42-29-22-000-0213</t>
  </si>
  <si>
    <t>#   56-43-42-32-01-036-0330</t>
  </si>
  <si>
    <t>#   56-43-42-33-04-003-0210</t>
  </si>
  <si>
    <t>#   56-43-42-28-25-026-0041</t>
  </si>
  <si>
    <t>#   56-43-42-32-01-024-0350</t>
  </si>
  <si>
    <t>#   56-43-42-32-01-024-0290</t>
  </si>
  <si>
    <t>#   56-43-42-32-01-024-0270</t>
  </si>
  <si>
    <t>#   56-43-42-32-01-024-0210</t>
  </si>
  <si>
    <t>#   56-43-42-29-01-059-0090</t>
  </si>
  <si>
    <t>#   56-43-42-29-01-059-0130</t>
  </si>
  <si>
    <t>#   56-43-42-29-03-012-0040</t>
  </si>
  <si>
    <t>Monthly</t>
  </si>
  <si>
    <r>
      <t xml:space="preserve">Construction cost </t>
    </r>
    <r>
      <rPr>
        <b/>
        <sz val="11"/>
        <color rgb="FFFF0000"/>
        <rFont val="Arial"/>
        <family val="2"/>
        <scheme val="minor"/>
      </rPr>
      <t>05/01/2026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</si>
</sst>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  <numFmt numFmtId="166" formatCode="mm/yyyy"/>
    <numFmt numFmtId="167" formatCode="0.0%"/>
  </numFmts>
  <fonts count="45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C00000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u/>
      <sz val="11"/>
      <color rgb="FFFF0000"/>
      <name val="Arial"/>
      <family val="2"/>
      <scheme val="minor"/>
    </font>
    <font>
      <sz val="11"/>
      <color theme="5" tint="-0.249977111117893"/>
      <name val="Arial"/>
      <family val="2"/>
      <scheme val="minor"/>
    </font>
    <font>
      <u/>
      <sz val="12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44" fontId="33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218">
    <xf numFmtId="0" fontId="0" fillId="0" borderId="0" xfId="0"/>
    <xf numFmtId="0" fontId="32" fillId="0" borderId="0" xfId="0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164" fontId="32" fillId="0" borderId="0" xfId="0" applyNumberFormat="1" applyFont="1" applyAlignment="1">
      <alignment horizontal="center"/>
    </xf>
    <xf numFmtId="6" fontId="32" fillId="0" borderId="0" xfId="0" applyNumberFormat="1" applyFont="1" applyAlignment="1">
      <alignment horizontal="center"/>
    </xf>
    <xf numFmtId="10" fontId="32" fillId="0" borderId="0" xfId="0" applyNumberFormat="1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164" fontId="32" fillId="0" borderId="0" xfId="1" applyNumberFormat="1" applyFont="1" applyAlignment="1">
      <alignment horizontal="center"/>
    </xf>
    <xf numFmtId="6" fontId="32" fillId="0" borderId="0" xfId="0" applyNumberFormat="1" applyFont="1"/>
    <xf numFmtId="0" fontId="34" fillId="2" borderId="0" xfId="0" applyFont="1" applyFill="1" applyAlignment="1">
      <alignment horizontal="right"/>
    </xf>
    <xf numFmtId="0" fontId="32" fillId="2" borderId="0" xfId="0" applyFont="1" applyFill="1" applyAlignment="1">
      <alignment horizontal="center"/>
    </xf>
    <xf numFmtId="10" fontId="32" fillId="2" borderId="0" xfId="0" applyNumberFormat="1" applyFont="1" applyFill="1" applyAlignment="1">
      <alignment horizontal="center"/>
    </xf>
    <xf numFmtId="3" fontId="32" fillId="2" borderId="0" xfId="0" applyNumberFormat="1" applyFont="1" applyFill="1" applyAlignment="1">
      <alignment horizontal="center"/>
    </xf>
    <xf numFmtId="10" fontId="32" fillId="0" borderId="0" xfId="2" applyNumberFormat="1" applyFont="1"/>
    <xf numFmtId="0" fontId="31" fillId="0" borderId="0" xfId="0" applyFont="1" applyAlignment="1">
      <alignment horizontal="left"/>
    </xf>
    <xf numFmtId="0" fontId="28" fillId="0" borderId="0" xfId="0" applyFont="1"/>
    <xf numFmtId="0" fontId="32" fillId="4" borderId="1" xfId="0" applyFont="1" applyFill="1" applyBorder="1" applyAlignment="1">
      <alignment horizontal="center"/>
    </xf>
    <xf numFmtId="3" fontId="32" fillId="4" borderId="1" xfId="0" applyNumberFormat="1" applyFont="1" applyFill="1" applyBorder="1" applyAlignment="1">
      <alignment horizontal="center"/>
    </xf>
    <xf numFmtId="9" fontId="32" fillId="4" borderId="1" xfId="2" applyFont="1" applyFill="1" applyBorder="1" applyAlignment="1">
      <alignment horizontal="center"/>
    </xf>
    <xf numFmtId="3" fontId="32" fillId="5" borderId="1" xfId="0" applyNumberFormat="1" applyFont="1" applyFill="1" applyBorder="1" applyAlignment="1">
      <alignment horizontal="center"/>
    </xf>
    <xf numFmtId="9" fontId="32" fillId="5" borderId="1" xfId="2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164" fontId="32" fillId="0" borderId="2" xfId="1" applyNumberFormat="1" applyFont="1" applyBorder="1" applyAlignment="1">
      <alignment horizontal="center"/>
    </xf>
    <xf numFmtId="6" fontId="32" fillId="0" borderId="2" xfId="0" applyNumberFormat="1" applyFont="1" applyBorder="1" applyAlignment="1">
      <alignment horizontal="center"/>
    </xf>
    <xf numFmtId="0" fontId="34" fillId="0" borderId="0" xfId="0" applyFont="1" applyAlignment="1">
      <alignment horizontal="right" vertical="center" wrapText="1"/>
    </xf>
    <xf numFmtId="0" fontId="29" fillId="0" borderId="0" xfId="0" applyFont="1" applyAlignment="1">
      <alignment horizontal="left"/>
    </xf>
    <xf numFmtId="16" fontId="32" fillId="0" borderId="0" xfId="0" applyNumberFormat="1" applyFont="1" applyAlignment="1">
      <alignment horizontal="center"/>
    </xf>
    <xf numFmtId="6" fontId="32" fillId="7" borderId="0" xfId="0" applyNumberFormat="1" applyFont="1" applyFill="1" applyAlignment="1">
      <alignment horizontal="center"/>
    </xf>
    <xf numFmtId="0" fontId="32" fillId="7" borderId="0" xfId="0" applyFont="1" applyFill="1" applyAlignment="1">
      <alignment horizontal="center"/>
    </xf>
    <xf numFmtId="6" fontId="32" fillId="2" borderId="0" xfId="0" applyNumberFormat="1" applyFont="1" applyFill="1" applyAlignment="1">
      <alignment horizontal="center"/>
    </xf>
    <xf numFmtId="9" fontId="32" fillId="0" borderId="0" xfId="0" applyNumberFormat="1" applyFont="1" applyAlignment="1">
      <alignment horizontal="center"/>
    </xf>
    <xf numFmtId="49" fontId="32" fillId="2" borderId="0" xfId="0" applyNumberFormat="1" applyFont="1" applyFill="1" applyAlignment="1">
      <alignment horizontal="center"/>
    </xf>
    <xf numFmtId="6" fontId="32" fillId="3" borderId="0" xfId="0" applyNumberFormat="1" applyFont="1" applyFill="1" applyAlignment="1">
      <alignment horizontal="center"/>
    </xf>
    <xf numFmtId="8" fontId="32" fillId="7" borderId="0" xfId="0" applyNumberFormat="1" applyFont="1" applyFill="1" applyAlignment="1">
      <alignment horizontal="center"/>
    </xf>
    <xf numFmtId="0" fontId="27" fillId="0" borderId="0" xfId="0" applyFont="1" applyAlignment="1">
      <alignment horizontal="left"/>
    </xf>
    <xf numFmtId="0" fontId="31" fillId="8" borderId="0" xfId="0" applyFont="1" applyFill="1" applyAlignment="1">
      <alignment horizontal="left"/>
    </xf>
    <xf numFmtId="0" fontId="32" fillId="8" borderId="0" xfId="0" applyFont="1" applyFill="1" applyAlignment="1">
      <alignment horizontal="center"/>
    </xf>
    <xf numFmtId="49" fontId="32" fillId="9" borderId="0" xfId="0" applyNumberFormat="1" applyFont="1" applyFill="1" applyAlignment="1">
      <alignment horizontal="center"/>
    </xf>
    <xf numFmtId="0" fontId="32" fillId="9" borderId="0" xfId="0" applyFont="1" applyFill="1" applyAlignment="1">
      <alignment horizontal="center"/>
    </xf>
    <xf numFmtId="0" fontId="32" fillId="8" borderId="0" xfId="0" applyFont="1" applyFill="1" applyAlignment="1">
      <alignment horizontal="left"/>
    </xf>
    <xf numFmtId="0" fontId="37" fillId="0" borderId="0" xfId="0" applyFont="1" applyAlignment="1">
      <alignment horizontal="left"/>
    </xf>
    <xf numFmtId="164" fontId="32" fillId="8" borderId="0" xfId="0" applyNumberFormat="1" applyFont="1" applyFill="1" applyAlignment="1">
      <alignment horizontal="center"/>
    </xf>
    <xf numFmtId="164" fontId="32" fillId="8" borderId="0" xfId="1" applyNumberFormat="1" applyFont="1" applyFill="1" applyAlignment="1">
      <alignment horizontal="center"/>
    </xf>
    <xf numFmtId="0" fontId="24" fillId="0" borderId="0" xfId="0" applyFont="1"/>
    <xf numFmtId="0" fontId="24" fillId="10" borderId="0" xfId="0" applyFont="1" applyFill="1"/>
    <xf numFmtId="0" fontId="24" fillId="4" borderId="0" xfId="0" applyFont="1" applyFill="1"/>
    <xf numFmtId="6" fontId="37" fillId="0" borderId="0" xfId="0" applyNumberFormat="1" applyFont="1" applyAlignment="1">
      <alignment horizontal="center"/>
    </xf>
    <xf numFmtId="0" fontId="24" fillId="0" borderId="0" xfId="0" applyFont="1" applyAlignment="1">
      <alignment horizontal="left"/>
    </xf>
    <xf numFmtId="6" fontId="35" fillId="0" borderId="0" xfId="0" applyNumberFormat="1" applyFont="1" applyAlignment="1">
      <alignment horizontal="center"/>
    </xf>
    <xf numFmtId="0" fontId="34" fillId="0" borderId="2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left"/>
    </xf>
    <xf numFmtId="10" fontId="24" fillId="0" borderId="2" xfId="2" applyNumberFormat="1" applyFont="1" applyBorder="1" applyAlignment="1">
      <alignment horizontal="center"/>
    </xf>
    <xf numFmtId="14" fontId="32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/>
    <xf numFmtId="6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6" fontId="35" fillId="7" borderId="0" xfId="0" applyNumberFormat="1" applyFont="1" applyFill="1" applyAlignment="1">
      <alignment horizontal="center"/>
    </xf>
    <xf numFmtId="0" fontId="34" fillId="7" borderId="0" xfId="0" applyFont="1" applyFill="1" applyAlignment="1">
      <alignment horizontal="right"/>
    </xf>
    <xf numFmtId="2" fontId="32" fillId="0" borderId="0" xfId="0" applyNumberFormat="1" applyFont="1" applyAlignment="1">
      <alignment horizontal="center"/>
    </xf>
    <xf numFmtId="2" fontId="32" fillId="2" borderId="0" xfId="0" applyNumberFormat="1" applyFont="1" applyFill="1" applyAlignment="1">
      <alignment horizontal="center"/>
    </xf>
    <xf numFmtId="0" fontId="21" fillId="0" borderId="0" xfId="0" applyFont="1" applyAlignment="1">
      <alignment horizontal="left"/>
    </xf>
    <xf numFmtId="0" fontId="29" fillId="11" borderId="0" xfId="0" applyFont="1" applyFill="1" applyAlignment="1">
      <alignment horizontal="left"/>
    </xf>
    <xf numFmtId="6" fontId="32" fillId="11" borderId="0" xfId="0" applyNumberFormat="1" applyFont="1" applyFill="1" applyAlignment="1">
      <alignment horizontal="center"/>
    </xf>
    <xf numFmtId="6" fontId="25" fillId="11" borderId="0" xfId="0" applyNumberFormat="1" applyFont="1" applyFill="1" applyAlignment="1">
      <alignment horizontal="center"/>
    </xf>
    <xf numFmtId="14" fontId="32" fillId="11" borderId="0" xfId="0" applyNumberFormat="1" applyFont="1" applyFill="1" applyAlignment="1">
      <alignment horizontal="center"/>
    </xf>
    <xf numFmtId="0" fontId="31" fillId="0" borderId="2" xfId="0" applyFont="1" applyBorder="1" applyAlignment="1">
      <alignment horizontal="left"/>
    </xf>
    <xf numFmtId="6" fontId="25" fillId="0" borderId="2" xfId="0" applyNumberFormat="1" applyFont="1" applyBorder="1" applyAlignment="1">
      <alignment horizontal="center"/>
    </xf>
    <xf numFmtId="6" fontId="25" fillId="7" borderId="0" xfId="0" applyNumberFormat="1" applyFont="1" applyFill="1" applyAlignment="1">
      <alignment horizontal="center"/>
    </xf>
    <xf numFmtId="164" fontId="32" fillId="0" borderId="0" xfId="1" applyNumberFormat="1" applyFont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3" fontId="32" fillId="4" borderId="3" xfId="0" applyNumberFormat="1" applyFont="1" applyFill="1" applyBorder="1" applyAlignment="1">
      <alignment horizontal="center"/>
    </xf>
    <xf numFmtId="9" fontId="32" fillId="4" borderId="3" xfId="2" applyFont="1" applyFill="1" applyBorder="1" applyAlignment="1">
      <alignment horizontal="center"/>
    </xf>
    <xf numFmtId="0" fontId="32" fillId="5" borderId="3" xfId="0" applyFont="1" applyFill="1" applyBorder="1" applyAlignment="1">
      <alignment horizontal="center"/>
    </xf>
    <xf numFmtId="9" fontId="32" fillId="5" borderId="3" xfId="2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16" fontId="32" fillId="0" borderId="2" xfId="0" applyNumberFormat="1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6" fontId="32" fillId="7" borderId="2" xfId="0" applyNumberFormat="1" applyFont="1" applyFill="1" applyBorder="1" applyAlignment="1">
      <alignment horizontal="center"/>
    </xf>
    <xf numFmtId="9" fontId="32" fillId="0" borderId="2" xfId="0" applyNumberFormat="1" applyFont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49" fontId="32" fillId="9" borderId="2" xfId="0" applyNumberFormat="1" applyFont="1" applyFill="1" applyBorder="1" applyAlignment="1">
      <alignment horizontal="center"/>
    </xf>
    <xf numFmtId="8" fontId="32" fillId="7" borderId="2" xfId="0" applyNumberFormat="1" applyFont="1" applyFill="1" applyBorder="1" applyAlignment="1">
      <alignment horizontal="center"/>
    </xf>
    <xf numFmtId="10" fontId="32" fillId="0" borderId="2" xfId="0" applyNumberFormat="1" applyFont="1" applyBorder="1" applyAlignment="1">
      <alignment horizontal="center"/>
    </xf>
    <xf numFmtId="0" fontId="32" fillId="0" borderId="2" xfId="0" applyFont="1" applyBorder="1"/>
    <xf numFmtId="0" fontId="19" fillId="0" borderId="0" xfId="0" applyFont="1"/>
    <xf numFmtId="14" fontId="32" fillId="0" borderId="2" xfId="0" applyNumberFormat="1" applyFont="1" applyBorder="1" applyAlignment="1">
      <alignment horizontal="center"/>
    </xf>
    <xf numFmtId="10" fontId="32" fillId="7" borderId="0" xfId="0" applyNumberFormat="1" applyFont="1" applyFill="1" applyAlignment="1">
      <alignment horizontal="center"/>
    </xf>
    <xf numFmtId="9" fontId="32" fillId="0" borderId="0" xfId="2" applyFont="1" applyAlignment="1">
      <alignment horizontal="center"/>
    </xf>
    <xf numFmtId="9" fontId="32" fillId="2" borderId="0" xfId="2" applyFont="1" applyFill="1" applyAlignment="1">
      <alignment horizontal="center"/>
    </xf>
    <xf numFmtId="9" fontId="32" fillId="0" borderId="2" xfId="2" applyFont="1" applyBorder="1" applyAlignment="1">
      <alignment horizontal="center"/>
    </xf>
    <xf numFmtId="2" fontId="32" fillId="0" borderId="2" xfId="0" applyNumberFormat="1" applyFont="1" applyBorder="1" applyAlignment="1">
      <alignment horizontal="center"/>
    </xf>
    <xf numFmtId="164" fontId="32" fillId="0" borderId="0" xfId="1" applyNumberFormat="1" applyFont="1" applyFill="1" applyAlignment="1">
      <alignment horizontal="center"/>
    </xf>
    <xf numFmtId="0" fontId="18" fillId="0" borderId="0" xfId="0" applyFont="1"/>
    <xf numFmtId="0" fontId="40" fillId="0" borderId="0" xfId="0" applyFont="1"/>
    <xf numFmtId="0" fontId="39" fillId="8" borderId="0" xfId="0" applyFont="1" applyFill="1" applyAlignment="1">
      <alignment horizontal="center"/>
    </xf>
    <xf numFmtId="14" fontId="39" fillId="0" borderId="0" xfId="0" applyNumberFormat="1" applyFont="1" applyAlignment="1">
      <alignment horizontal="center"/>
    </xf>
    <xf numFmtId="14" fontId="25" fillId="0" borderId="0" xfId="0" applyNumberFormat="1" applyFont="1" applyAlignment="1">
      <alignment horizontal="center"/>
    </xf>
    <xf numFmtId="0" fontId="16" fillId="0" borderId="0" xfId="0" applyFont="1"/>
    <xf numFmtId="166" fontId="32" fillId="0" borderId="0" xfId="0" applyNumberFormat="1" applyFont="1" applyAlignment="1">
      <alignment horizontal="center"/>
    </xf>
    <xf numFmtId="166" fontId="32" fillId="8" borderId="0" xfId="0" applyNumberFormat="1" applyFont="1" applyFill="1" applyAlignment="1">
      <alignment horizontal="center"/>
    </xf>
    <xf numFmtId="166" fontId="32" fillId="11" borderId="0" xfId="0" applyNumberFormat="1" applyFont="1" applyFill="1" applyAlignment="1">
      <alignment horizontal="center"/>
    </xf>
    <xf numFmtId="166" fontId="32" fillId="0" borderId="2" xfId="0" applyNumberFormat="1" applyFont="1" applyBorder="1" applyAlignment="1">
      <alignment horizontal="center"/>
    </xf>
    <xf numFmtId="6" fontId="32" fillId="5" borderId="0" xfId="0" applyNumberFormat="1" applyFont="1" applyFill="1" applyAlignment="1">
      <alignment horizontal="center"/>
    </xf>
    <xf numFmtId="6" fontId="32" fillId="5" borderId="2" xfId="0" applyNumberFormat="1" applyFont="1" applyFill="1" applyBorder="1" applyAlignment="1">
      <alignment horizontal="center"/>
    </xf>
    <xf numFmtId="9" fontId="32" fillId="5" borderId="0" xfId="2" applyFont="1" applyFill="1" applyAlignment="1">
      <alignment horizontal="center"/>
    </xf>
    <xf numFmtId="9" fontId="32" fillId="5" borderId="2" xfId="2" applyFont="1" applyFill="1" applyBorder="1" applyAlignment="1">
      <alignment horizontal="center"/>
    </xf>
    <xf numFmtId="9" fontId="32" fillId="7" borderId="0" xfId="2" applyFont="1" applyFill="1" applyAlignment="1">
      <alignment horizontal="center"/>
    </xf>
    <xf numFmtId="9" fontId="32" fillId="7" borderId="2" xfId="2" applyFont="1" applyFill="1" applyBorder="1" applyAlignment="1">
      <alignment horizontal="center"/>
    </xf>
    <xf numFmtId="0" fontId="41" fillId="0" borderId="0" xfId="0" applyFont="1" applyAlignment="1">
      <alignment horizontal="center" vertical="center" wrapText="1"/>
    </xf>
    <xf numFmtId="0" fontId="37" fillId="0" borderId="0" xfId="0" applyFont="1"/>
    <xf numFmtId="9" fontId="32" fillId="5" borderId="0" xfId="2" applyFont="1" applyFill="1" applyBorder="1" applyAlignment="1">
      <alignment horizontal="center"/>
    </xf>
    <xf numFmtId="0" fontId="15" fillId="0" borderId="0" xfId="0" applyFont="1"/>
    <xf numFmtId="9" fontId="32" fillId="0" borderId="0" xfId="2" applyFont="1" applyBorder="1" applyAlignment="1">
      <alignment horizontal="center"/>
    </xf>
    <xf numFmtId="9" fontId="32" fillId="7" borderId="0" xfId="2" applyFont="1" applyFill="1" applyBorder="1" applyAlignment="1">
      <alignment horizontal="center"/>
    </xf>
    <xf numFmtId="0" fontId="31" fillId="11" borderId="0" xfId="0" applyFont="1" applyFill="1" applyAlignment="1">
      <alignment horizontal="left"/>
    </xf>
    <xf numFmtId="9" fontId="32" fillId="11" borderId="0" xfId="2" applyFont="1" applyFill="1" applyBorder="1" applyAlignment="1">
      <alignment horizontal="center"/>
    </xf>
    <xf numFmtId="2" fontId="32" fillId="11" borderId="0" xfId="0" applyNumberFormat="1" applyFont="1" applyFill="1" applyAlignment="1">
      <alignment horizontal="center"/>
    </xf>
    <xf numFmtId="10" fontId="32" fillId="11" borderId="0" xfId="0" applyNumberFormat="1" applyFont="1" applyFill="1" applyAlignment="1">
      <alignment horizontal="center"/>
    </xf>
    <xf numFmtId="16" fontId="32" fillId="11" borderId="0" xfId="0" applyNumberFormat="1" applyFont="1" applyFill="1" applyAlignment="1">
      <alignment horizontal="center"/>
    </xf>
    <xf numFmtId="0" fontId="32" fillId="11" borderId="0" xfId="0" applyFont="1" applyFill="1" applyAlignment="1">
      <alignment horizontal="center"/>
    </xf>
    <xf numFmtId="164" fontId="32" fillId="11" borderId="0" xfId="1" applyNumberFormat="1" applyFont="1" applyFill="1" applyBorder="1" applyAlignment="1">
      <alignment horizontal="center"/>
    </xf>
    <xf numFmtId="9" fontId="32" fillId="11" borderId="0" xfId="0" applyNumberFormat="1" applyFont="1" applyFill="1" applyAlignment="1">
      <alignment horizontal="center"/>
    </xf>
    <xf numFmtId="49" fontId="32" fillId="11" borderId="0" xfId="0" applyNumberFormat="1" applyFont="1" applyFill="1" applyAlignment="1">
      <alignment horizontal="center"/>
    </xf>
    <xf numFmtId="8" fontId="32" fillId="11" borderId="0" xfId="0" applyNumberFormat="1" applyFont="1" applyFill="1" applyAlignment="1">
      <alignment horizontal="center"/>
    </xf>
    <xf numFmtId="0" fontId="37" fillId="11" borderId="0" xfId="0" applyFont="1" applyFill="1" applyAlignment="1">
      <alignment horizontal="left"/>
    </xf>
    <xf numFmtId="0" fontId="32" fillId="11" borderId="0" xfId="0" applyFont="1" applyFill="1"/>
    <xf numFmtId="49" fontId="15" fillId="2" borderId="2" xfId="0" applyNumberFormat="1" applyFont="1" applyFill="1" applyBorder="1" applyAlignment="1">
      <alignment horizontal="center"/>
    </xf>
    <xf numFmtId="6" fontId="15" fillId="0" borderId="2" xfId="0" applyNumberFormat="1" applyFont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10" fontId="24" fillId="0" borderId="0" xfId="2" applyNumberFormat="1" applyFont="1" applyBorder="1" applyAlignment="1">
      <alignment horizontal="center"/>
    </xf>
    <xf numFmtId="0" fontId="23" fillId="0" borderId="0" xfId="0" applyFont="1" applyAlignment="1">
      <alignment horizontal="left"/>
    </xf>
    <xf numFmtId="164" fontId="17" fillId="0" borderId="0" xfId="0" applyNumberFormat="1" applyFont="1"/>
    <xf numFmtId="44" fontId="32" fillId="0" borderId="0" xfId="0" applyNumberFormat="1" applyFont="1"/>
    <xf numFmtId="0" fontId="39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9" fontId="14" fillId="2" borderId="0" xfId="0" applyNumberFormat="1" applyFont="1" applyFill="1" applyAlignment="1">
      <alignment horizontal="center"/>
    </xf>
    <xf numFmtId="49" fontId="14" fillId="9" borderId="0" xfId="0" applyNumberFormat="1" applyFont="1" applyFill="1" applyAlignment="1">
      <alignment horizontal="center"/>
    </xf>
    <xf numFmtId="0" fontId="30" fillId="0" borderId="0" xfId="0" applyFont="1" applyAlignment="1">
      <alignment horizontal="left"/>
    </xf>
    <xf numFmtId="0" fontId="15" fillId="0" borderId="2" xfId="0" applyFont="1" applyBorder="1" applyAlignment="1">
      <alignment horizontal="left"/>
    </xf>
    <xf numFmtId="164" fontId="35" fillId="0" borderId="0" xfId="1" applyNumberFormat="1" applyFont="1" applyFill="1" applyAlignment="1">
      <alignment horizontal="center"/>
    </xf>
    <xf numFmtId="3" fontId="32" fillId="0" borderId="0" xfId="0" applyNumberFormat="1" applyFont="1" applyAlignment="1">
      <alignment horizontal="center"/>
    </xf>
    <xf numFmtId="3" fontId="32" fillId="0" borderId="4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32" fillId="0" borderId="2" xfId="0" applyFont="1" applyBorder="1" applyAlignment="1">
      <alignment horizontal="left"/>
    </xf>
    <xf numFmtId="3" fontId="32" fillId="5" borderId="3" xfId="0" applyNumberFormat="1" applyFont="1" applyFill="1" applyBorder="1" applyAlignment="1">
      <alignment horizontal="center"/>
    </xf>
    <xf numFmtId="3" fontId="32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2" fillId="0" borderId="0" xfId="0" applyFont="1" applyAlignment="1">
      <alignment horizontal="left"/>
    </xf>
    <xf numFmtId="167" fontId="32" fillId="0" borderId="0" xfId="0" applyNumberFormat="1" applyFont="1" applyAlignment="1">
      <alignment horizontal="center"/>
    </xf>
    <xf numFmtId="0" fontId="32" fillId="7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left"/>
    </xf>
    <xf numFmtId="0" fontId="34" fillId="2" borderId="0" xfId="0" applyFont="1" applyFill="1" applyAlignment="1">
      <alignment horizontal="right" vertical="center"/>
    </xf>
    <xf numFmtId="6" fontId="32" fillId="2" borderId="0" xfId="0" applyNumberFormat="1" applyFont="1" applyFill="1" applyAlignment="1">
      <alignment horizontal="center" vertical="center"/>
    </xf>
    <xf numFmtId="9" fontId="32" fillId="2" borderId="0" xfId="2" applyFont="1" applyFill="1" applyAlignment="1">
      <alignment horizontal="center" vertical="center"/>
    </xf>
    <xf numFmtId="2" fontId="32" fillId="2" borderId="0" xfId="0" applyNumberFormat="1" applyFont="1" applyFill="1" applyAlignment="1">
      <alignment horizontal="center" vertical="center"/>
    </xf>
    <xf numFmtId="10" fontId="32" fillId="2" borderId="0" xfId="0" applyNumberFormat="1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6" fontId="32" fillId="3" borderId="0" xfId="0" applyNumberFormat="1" applyFont="1" applyFill="1" applyAlignment="1">
      <alignment horizontal="center" vertical="center"/>
    </xf>
    <xf numFmtId="0" fontId="34" fillId="7" borderId="0" xfId="0" applyFont="1" applyFill="1" applyAlignment="1">
      <alignment horizontal="right" vertical="center"/>
    </xf>
    <xf numFmtId="6" fontId="32" fillId="7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left"/>
    </xf>
    <xf numFmtId="49" fontId="11" fillId="2" borderId="0" xfId="0" applyNumberFormat="1" applyFont="1" applyFill="1" applyAlignment="1">
      <alignment horizontal="center"/>
    </xf>
    <xf numFmtId="0" fontId="10" fillId="0" borderId="0" xfId="0" applyFont="1" applyAlignment="1">
      <alignment horizontal="left"/>
    </xf>
    <xf numFmtId="49" fontId="9" fillId="2" borderId="0" xfId="0" applyNumberFormat="1" applyFont="1" applyFill="1" applyAlignment="1">
      <alignment horizontal="center"/>
    </xf>
    <xf numFmtId="6" fontId="32" fillId="6" borderId="0" xfId="0" applyNumberFormat="1" applyFont="1" applyFill="1" applyAlignment="1">
      <alignment horizontal="center"/>
    </xf>
    <xf numFmtId="6" fontId="32" fillId="6" borderId="0" xfId="0" applyNumberFormat="1" applyFont="1" applyFill="1" applyAlignment="1">
      <alignment horizontal="center" vertical="center"/>
    </xf>
    <xf numFmtId="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center"/>
    </xf>
    <xf numFmtId="0" fontId="37" fillId="0" borderId="2" xfId="0" applyFont="1" applyBorder="1" applyAlignment="1">
      <alignment horizontal="left"/>
    </xf>
    <xf numFmtId="9" fontId="32" fillId="2" borderId="0" xfId="0" applyNumberFormat="1" applyFont="1" applyFill="1" applyAlignment="1">
      <alignment horizontal="center"/>
    </xf>
    <xf numFmtId="6" fontId="35" fillId="0" borderId="2" xfId="0" applyNumberFormat="1" applyFont="1" applyBorder="1" applyAlignment="1">
      <alignment horizontal="center"/>
    </xf>
    <xf numFmtId="6" fontId="43" fillId="0" borderId="0" xfId="0" applyNumberFormat="1" applyFont="1" applyAlignment="1">
      <alignment horizontal="center"/>
    </xf>
    <xf numFmtId="10" fontId="32" fillId="4" borderId="0" xfId="0" applyNumberFormat="1" applyFont="1" applyFill="1" applyAlignment="1">
      <alignment horizontal="center"/>
    </xf>
    <xf numFmtId="10" fontId="32" fillId="4" borderId="2" xfId="0" applyNumberFormat="1" applyFont="1" applyFill="1" applyBorder="1" applyAlignment="1">
      <alignment horizontal="center"/>
    </xf>
    <xf numFmtId="3" fontId="32" fillId="2" borderId="0" xfId="0" applyNumberFormat="1" applyFont="1" applyFill="1" applyAlignment="1">
      <alignment horizontal="center" vertical="center"/>
    </xf>
    <xf numFmtId="165" fontId="37" fillId="0" borderId="0" xfId="0" applyNumberFormat="1" applyFont="1" applyAlignment="1">
      <alignment horizontal="center"/>
    </xf>
    <xf numFmtId="164" fontId="32" fillId="6" borderId="0" xfId="1" applyNumberFormat="1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10" fontId="32" fillId="2" borderId="0" xfId="2" applyNumberFormat="1" applyFont="1" applyFill="1" applyAlignment="1">
      <alignment horizontal="center" vertical="center"/>
    </xf>
    <xf numFmtId="0" fontId="34" fillId="0" borderId="0" xfId="0" applyFont="1"/>
    <xf numFmtId="0" fontId="44" fillId="0" borderId="0" xfId="0" applyFont="1"/>
    <xf numFmtId="0" fontId="8" fillId="0" borderId="0" xfId="0" applyFont="1"/>
    <xf numFmtId="164" fontId="32" fillId="3" borderId="0" xfId="0" applyNumberFormat="1" applyFont="1" applyFill="1"/>
    <xf numFmtId="164" fontId="32" fillId="3" borderId="0" xfId="1" applyNumberFormat="1" applyFont="1" applyFill="1"/>
    <xf numFmtId="165" fontId="35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9" fontId="7" fillId="4" borderId="3" xfId="2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17" fillId="3" borderId="0" xfId="1" applyNumberFormat="1" applyFont="1" applyFill="1" applyAlignment="1">
      <alignment horizontal="center"/>
    </xf>
    <xf numFmtId="44" fontId="32" fillId="3" borderId="0" xfId="0" applyNumberFormat="1" applyFont="1" applyFill="1"/>
    <xf numFmtId="6" fontId="25" fillId="7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37" fillId="0" borderId="2" xfId="0" applyFont="1" applyBorder="1" applyAlignment="1">
      <alignment horizontal="center"/>
    </xf>
    <xf numFmtId="6" fontId="37" fillId="7" borderId="0" xfId="0" applyNumberFormat="1" applyFont="1" applyFill="1" applyAlignment="1">
      <alignment horizontal="center"/>
    </xf>
    <xf numFmtId="0" fontId="37" fillId="7" borderId="0" xfId="0" applyFont="1" applyFill="1" applyAlignment="1">
      <alignment horizontal="center"/>
    </xf>
    <xf numFmtId="6" fontId="37" fillId="7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164" fontId="35" fillId="3" borderId="0" xfId="0" applyNumberFormat="1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customschemas.google.com/relationships/workbookmetadata" Target="metadata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407%20new.xlsx" TargetMode="External"/><Relationship Id="rId1" Type="http://schemas.openxmlformats.org/officeDocument/2006/relationships/externalLinkPath" Target="properties/407%20new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5301-5451%20new.xlsx" TargetMode="External"/><Relationship Id="rId1" Type="http://schemas.openxmlformats.org/officeDocument/2006/relationships/externalLinkPath" Target="properties/5301-5451%20new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5848%20new.xlsx" TargetMode="External"/><Relationship Id="rId1" Type="http://schemas.openxmlformats.org/officeDocument/2006/relationships/externalLinkPath" Target="properties/5848%20new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8148-8198%20new.xlsx" TargetMode="External"/><Relationship Id="rId1" Type="http://schemas.openxmlformats.org/officeDocument/2006/relationships/externalLinkPath" Target="properties/8148-8198%20new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3555%20new.xlsx" TargetMode="External"/><Relationship Id="rId1" Type="http://schemas.openxmlformats.org/officeDocument/2006/relationships/externalLinkPath" Target="properties/3555%20new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29%20new.xlsx" TargetMode="External"/><Relationship Id="rId1" Type="http://schemas.openxmlformats.org/officeDocument/2006/relationships/externalLinkPath" Target="properties/229%20new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221%20new.xlsx" TargetMode="External"/><Relationship Id="rId1" Type="http://schemas.openxmlformats.org/officeDocument/2006/relationships/externalLinkPath" Target="properties/1221%20new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704%20-%202728%20new.xlsx" TargetMode="External"/><Relationship Id="rId1" Type="http://schemas.openxmlformats.org/officeDocument/2006/relationships/externalLinkPath" Target="properties/2704%20-%202728%20new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15%20new.xlsx" TargetMode="External"/><Relationship Id="rId1" Type="http://schemas.openxmlformats.org/officeDocument/2006/relationships/externalLinkPath" Target="properties/215%20new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Land%20in%20Montgomary,%20AL.xlsx" TargetMode="External"/><Relationship Id="rId1" Type="http://schemas.openxmlformats.org/officeDocument/2006/relationships/externalLinkPath" Target="properties/Land%20in%20Montgomary,%20AL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64%20new.xlsx" TargetMode="External"/><Relationship Id="rId1" Type="http://schemas.openxmlformats.org/officeDocument/2006/relationships/externalLinkPath" Target="properties/64%20new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500%20new.xlsx" TargetMode="External"/><Relationship Id="rId1" Type="http://schemas.openxmlformats.org/officeDocument/2006/relationships/externalLinkPath" Target="properties/500%20new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995%20new.xlsx" TargetMode="External"/><Relationship Id="rId1" Type="http://schemas.openxmlformats.org/officeDocument/2006/relationships/externalLinkPath" Target="properties/995%20new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941%20new.xlsx" TargetMode="External"/><Relationship Id="rId1" Type="http://schemas.openxmlformats.org/officeDocument/2006/relationships/externalLinkPath" Target="properties/2941%20new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41%20new.xlsx" TargetMode="External"/><Relationship Id="rId1" Type="http://schemas.openxmlformats.org/officeDocument/2006/relationships/externalLinkPath" Target="properties/141%20new.xlsx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13%20new.xlsx" TargetMode="External"/><Relationship Id="rId1" Type="http://schemas.openxmlformats.org/officeDocument/2006/relationships/externalLinkPath" Target="properties/213%20new.xlsx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3651%20new.xlsx" TargetMode="External"/><Relationship Id="rId1" Type="http://schemas.openxmlformats.org/officeDocument/2006/relationships/externalLinkPath" Target="properties/3651%20new.xlsx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Yeruham%20-%20Israel%20new.xlsx" TargetMode="External"/><Relationship Id="rId1" Type="http://schemas.openxmlformats.org/officeDocument/2006/relationships/externalLinkPath" Target="properties/Yeruham%20-%20Israel%20new.xlsx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456%20%20new.xlsx" TargetMode="External"/><Relationship Id="rId1" Type="http://schemas.openxmlformats.org/officeDocument/2006/relationships/externalLinkPath" Target="properties/2456%20%20new.xlsx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502%20new.xlsx" TargetMode="External"/><Relationship Id="rId1" Type="http://schemas.openxmlformats.org/officeDocument/2006/relationships/externalLinkPath" Target="properties/2502%20new.xlsx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649%20new.xlsx" TargetMode="External"/><Relationship Id="rId1" Type="http://schemas.openxmlformats.org/officeDocument/2006/relationships/externalLinkPath" Target="properties/2649%20new.xlsx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620%20new.xlsx" TargetMode="External"/><Relationship Id="rId1" Type="http://schemas.openxmlformats.org/officeDocument/2006/relationships/externalLinkPath" Target="properties/620%20new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638%20new.xlsx" TargetMode="External"/><Relationship Id="rId1" Type="http://schemas.openxmlformats.org/officeDocument/2006/relationships/externalLinkPath" Target="properties/638%20new.xlsx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752%20new.xlsx" TargetMode="External"/><Relationship Id="rId1" Type="http://schemas.openxmlformats.org/officeDocument/2006/relationships/externalLinkPath" Target="properties/752%20new.xlsx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044%20new.xlsx" TargetMode="External"/><Relationship Id="rId1" Type="http://schemas.openxmlformats.org/officeDocument/2006/relationships/externalLinkPath" Target="properties/1044%20new.xlsx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031%20new.xlsx" TargetMode="External"/><Relationship Id="rId1" Type="http://schemas.openxmlformats.org/officeDocument/2006/relationships/externalLinkPath" Target="properties/2031%20new.xlsx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3319%20new.xlsx" TargetMode="External"/><Relationship Id="rId1" Type="http://schemas.openxmlformats.org/officeDocument/2006/relationships/externalLinkPath" Target="properties/3319%20new.xlsx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701%20new.xlsx" TargetMode="External"/><Relationship Id="rId1" Type="http://schemas.openxmlformats.org/officeDocument/2006/relationships/externalLinkPath" Target="properties/701%20new.xlsx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40%20new.xlsx" TargetMode="External"/><Relationship Id="rId1" Type="http://schemas.openxmlformats.org/officeDocument/2006/relationships/externalLinkPath" Target="properties/140%20new.xlsx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507%20new.xlsx" TargetMode="External"/><Relationship Id="rId1" Type="http://schemas.openxmlformats.org/officeDocument/2006/relationships/externalLinkPath" Target="properties/507%20new.xlsx" TargetMode="External"/></Relationships>
</file>

<file path=xl/externalLinks/_rels/externalLink3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000%20new.xlsx" TargetMode="External"/><Relationship Id="rId1" Type="http://schemas.openxmlformats.org/officeDocument/2006/relationships/externalLinkPath" Target="properties/1000%20new.xlsx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028%20new.xlsx" TargetMode="External"/><Relationship Id="rId1" Type="http://schemas.openxmlformats.org/officeDocument/2006/relationships/externalLinkPath" Target="properties/1028%20new.xlsx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036%20new.xlsx" TargetMode="External"/><Relationship Id="rId1" Type="http://schemas.openxmlformats.org/officeDocument/2006/relationships/externalLinkPath" Target="properties/1036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128%20new.xlsx" TargetMode="External"/><Relationship Id="rId1" Type="http://schemas.openxmlformats.org/officeDocument/2006/relationships/externalLinkPath" Target="properties/1128%20new.xlsx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060%20new.xlsx" TargetMode="External"/><Relationship Id="rId1" Type="http://schemas.openxmlformats.org/officeDocument/2006/relationships/externalLinkPath" Target="properties/1060%20new.xlsx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624%20%23i%20new.xlsx" TargetMode="External"/><Relationship Id="rId1" Type="http://schemas.openxmlformats.org/officeDocument/2006/relationships/externalLinkPath" Target="properties/2624%20%23i%20new.xlsx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624%20%23Q%20new.xlsx" TargetMode="External"/><Relationship Id="rId1" Type="http://schemas.openxmlformats.org/officeDocument/2006/relationships/externalLinkPath" Target="properties/2624%20%23Q%20new.xlsx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317%20new.xlsx" TargetMode="External"/><Relationship Id="rId1" Type="http://schemas.openxmlformats.org/officeDocument/2006/relationships/externalLinkPath" Target="properties/1317%20new.xlsx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management%20expenses.xlsx" TargetMode="External"/><Relationship Id="rId1" Type="http://schemas.openxmlformats.org/officeDocument/2006/relationships/externalLinkPath" Target="management%20expenses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1210%20new.xlsx" TargetMode="External"/><Relationship Id="rId1" Type="http://schemas.openxmlformats.org/officeDocument/2006/relationships/externalLinkPath" Target="properties/1210%20new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505%20new.xlsx" TargetMode="External"/><Relationship Id="rId1" Type="http://schemas.openxmlformats.org/officeDocument/2006/relationships/externalLinkPath" Target="properties/2505%20new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619%20new.xlsx" TargetMode="External"/><Relationship Id="rId1" Type="http://schemas.openxmlformats.org/officeDocument/2006/relationships/externalLinkPath" Target="properties/2619%20new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2851%20new.xlsx" TargetMode="External"/><Relationship Id="rId1" Type="http://schemas.openxmlformats.org/officeDocument/2006/relationships/externalLinkPath" Target="properties/2851%20new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.shortcut-targets-by-id\1lkLmL9SEukWM2RyWaZqwR4eG-oWio0mQ\USA\global%20view\properties\3118%20new.xlsx" TargetMode="External"/><Relationship Id="rId1" Type="http://schemas.openxmlformats.org/officeDocument/2006/relationships/externalLinkPath" Target="properties/3118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44735</v>
          </cell>
        </row>
        <row r="29">
          <cell r="C29">
            <v>64269</v>
          </cell>
          <cell r="G29">
            <v>124979</v>
          </cell>
          <cell r="O29">
            <v>0</v>
          </cell>
          <cell r="R29">
            <v>118559</v>
          </cell>
          <cell r="S29">
            <v>6420</v>
          </cell>
        </row>
        <row r="31">
          <cell r="C31">
            <v>23</v>
          </cell>
          <cell r="E31">
            <v>0.94863137007017184</v>
          </cell>
          <cell r="G31">
            <v>0.95652173913043481</v>
          </cell>
        </row>
        <row r="32">
          <cell r="C32">
            <v>1</v>
          </cell>
          <cell r="E32">
            <v>5.1368629929828158E-2</v>
          </cell>
          <cell r="G32">
            <v>4.3478260869565216E-2</v>
          </cell>
        </row>
        <row r="42">
          <cell r="G42">
            <v>44682</v>
          </cell>
        </row>
        <row r="43">
          <cell r="G43">
            <v>5400000</v>
          </cell>
          <cell r="P43" t="str">
            <v>Dan &amp; Jose</v>
          </cell>
        </row>
        <row r="44">
          <cell r="C44">
            <v>771228</v>
          </cell>
        </row>
        <row r="46">
          <cell r="P46" t="str">
            <v>1M each / 2M total</v>
          </cell>
        </row>
        <row r="47">
          <cell r="P47">
            <v>0</v>
          </cell>
        </row>
        <row r="48">
          <cell r="G48">
            <v>5200000</v>
          </cell>
          <cell r="P48">
            <v>3150</v>
          </cell>
        </row>
        <row r="49">
          <cell r="G49">
            <v>4160000</v>
          </cell>
          <cell r="P49">
            <v>11303520</v>
          </cell>
        </row>
        <row r="50">
          <cell r="C50">
            <v>46273.68</v>
          </cell>
          <cell r="G50">
            <v>1039999.9999999998</v>
          </cell>
          <cell r="P50" t="str">
            <v>replacement cost</v>
          </cell>
        </row>
        <row r="51">
          <cell r="P51">
            <v>90.443354483553236</v>
          </cell>
        </row>
        <row r="52">
          <cell r="P52">
            <v>7500</v>
          </cell>
        </row>
        <row r="53">
          <cell r="P53">
            <v>0.8</v>
          </cell>
        </row>
        <row r="55">
          <cell r="G55">
            <v>14733.333333333334</v>
          </cell>
          <cell r="H55">
            <v>4.2500000000000003E-2</v>
          </cell>
        </row>
        <row r="56">
          <cell r="G56">
            <v>11026.820584330768</v>
          </cell>
          <cell r="P56">
            <v>565176</v>
          </cell>
        </row>
        <row r="57">
          <cell r="G57">
            <v>25760.153917664102</v>
          </cell>
          <cell r="P57">
            <v>0.05</v>
          </cell>
        </row>
        <row r="58">
          <cell r="P58">
            <v>23400</v>
          </cell>
        </row>
        <row r="59">
          <cell r="G59">
            <v>22980.489415669232</v>
          </cell>
        </row>
        <row r="61">
          <cell r="P61">
            <v>600000</v>
          </cell>
        </row>
        <row r="63">
          <cell r="G63">
            <v>0.25499641498731412</v>
          </cell>
        </row>
        <row r="64">
          <cell r="G64">
            <v>0.37735236950390683</v>
          </cell>
          <cell r="P64">
            <v>12250</v>
          </cell>
        </row>
        <row r="65">
          <cell r="C65">
            <v>186340.28</v>
          </cell>
          <cell r="G65">
            <v>0.11247840769230769</v>
          </cell>
          <cell r="P65">
            <v>1100000</v>
          </cell>
        </row>
        <row r="66">
          <cell r="P66">
            <v>18268</v>
          </cell>
        </row>
        <row r="67">
          <cell r="C67">
            <v>584887.72</v>
          </cell>
          <cell r="G67">
            <v>1.892094414075344</v>
          </cell>
        </row>
        <row r="68">
          <cell r="P68">
            <v>1156.5999999999999</v>
          </cell>
        </row>
        <row r="69">
          <cell r="P69">
            <v>175</v>
          </cell>
        </row>
        <row r="70">
          <cell r="P70">
            <v>0.1105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25">
          <cell r="E25">
            <v>87276.2</v>
          </cell>
          <cell r="G25">
            <v>188997</v>
          </cell>
          <cell r="O25">
            <v>20000</v>
          </cell>
          <cell r="R25">
            <v>133996</v>
          </cell>
          <cell r="S25">
            <v>55001</v>
          </cell>
        </row>
        <row r="27">
          <cell r="C27">
            <v>17</v>
          </cell>
          <cell r="E27">
            <v>0.70898479870050846</v>
          </cell>
          <cell r="G27">
            <v>0.88235294117647056</v>
          </cell>
        </row>
        <row r="28">
          <cell r="C28">
            <v>2</v>
          </cell>
          <cell r="E28">
            <v>0.29101520129949154</v>
          </cell>
          <cell r="G28">
            <v>0.11764705882352941</v>
          </cell>
        </row>
        <row r="38">
          <cell r="G38">
            <v>44501</v>
          </cell>
          <cell r="P38">
            <v>45646</v>
          </cell>
        </row>
        <row r="39">
          <cell r="G39">
            <v>8350000</v>
          </cell>
          <cell r="P39" t="str">
            <v>Jone</v>
          </cell>
        </row>
        <row r="40">
          <cell r="C40">
            <v>1047314.4</v>
          </cell>
        </row>
        <row r="42">
          <cell r="P42" t="str">
            <v>1M each / 2M total</v>
          </cell>
        </row>
        <row r="43">
          <cell r="P43">
            <v>2500</v>
          </cell>
        </row>
        <row r="44">
          <cell r="G44">
            <v>7800000</v>
          </cell>
          <cell r="P44">
            <v>19831.400000000001</v>
          </cell>
        </row>
        <row r="45">
          <cell r="G45">
            <v>5446350</v>
          </cell>
        </row>
        <row r="46">
          <cell r="C46">
            <v>62838.864000000001</v>
          </cell>
          <cell r="P46">
            <v>17270000</v>
          </cell>
        </row>
        <row r="47">
          <cell r="P47" t="str">
            <v>replacement cost</v>
          </cell>
        </row>
        <row r="48">
          <cell r="P48">
            <v>91.377111806007505</v>
          </cell>
        </row>
        <row r="49">
          <cell r="P49">
            <v>25000</v>
          </cell>
        </row>
        <row r="50">
          <cell r="P50">
            <v>0</v>
          </cell>
        </row>
        <row r="51">
          <cell r="G51">
            <v>17700.637500000001</v>
          </cell>
          <cell r="H51">
            <v>3.9E-2</v>
          </cell>
        </row>
        <row r="52">
          <cell r="G52">
            <v>10747.335454713109</v>
          </cell>
        </row>
        <row r="53">
          <cell r="G53">
            <v>28447.97295471311</v>
          </cell>
        </row>
        <row r="55">
          <cell r="G55">
            <v>19021.34671195356</v>
          </cell>
          <cell r="P55">
            <v>48109</v>
          </cell>
        </row>
        <row r="58">
          <cell r="P58">
            <v>1100000</v>
          </cell>
        </row>
        <row r="59">
          <cell r="G59">
            <v>9.2223546891960551E-2</v>
          </cell>
        </row>
        <row r="60">
          <cell r="G60">
            <v>0.14433118208103438</v>
          </cell>
        </row>
        <row r="61">
          <cell r="G61">
            <v>7.3029722564102562E-2</v>
          </cell>
        </row>
        <row r="62">
          <cell r="C62">
            <v>477682.56400000001</v>
          </cell>
        </row>
        <row r="63">
          <cell r="G63">
            <v>1.668636276554186</v>
          </cell>
        </row>
        <row r="64">
          <cell r="C64">
            <v>569631.83600000001</v>
          </cell>
        </row>
        <row r="66">
          <cell r="P66">
            <v>2025.3</v>
          </cell>
        </row>
        <row r="67">
          <cell r="P67">
            <v>9.6100000000000005E-2</v>
          </cell>
        </row>
        <row r="90">
          <cell r="G90">
            <v>2475031.2499999995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17">
          <cell r="E17">
            <v>12510</v>
          </cell>
          <cell r="G17">
            <v>18500</v>
          </cell>
          <cell r="O17">
            <v>1200</v>
          </cell>
          <cell r="R17">
            <v>17000</v>
          </cell>
          <cell r="S17">
            <v>1500</v>
          </cell>
        </row>
        <row r="19">
          <cell r="C19">
            <v>10</v>
          </cell>
          <cell r="E19">
            <v>0.91891891891891897</v>
          </cell>
          <cell r="G19">
            <v>0.9</v>
          </cell>
        </row>
        <row r="20">
          <cell r="C20">
            <v>1</v>
          </cell>
          <cell r="E20">
            <v>8.108108108108103E-2</v>
          </cell>
          <cell r="G20">
            <v>0.1</v>
          </cell>
        </row>
        <row r="30">
          <cell r="G30">
            <v>44409</v>
          </cell>
          <cell r="P30">
            <v>45614</v>
          </cell>
        </row>
        <row r="31">
          <cell r="G31">
            <v>1420000</v>
          </cell>
          <cell r="P31" t="str">
            <v>Jone</v>
          </cell>
        </row>
        <row r="32">
          <cell r="C32">
            <v>150120</v>
          </cell>
        </row>
        <row r="34">
          <cell r="P34" t="str">
            <v>1M each / 2M total</v>
          </cell>
        </row>
        <row r="35">
          <cell r="P35">
            <v>500</v>
          </cell>
        </row>
        <row r="36">
          <cell r="G36">
            <v>1050000</v>
          </cell>
          <cell r="P36">
            <v>3089.4</v>
          </cell>
        </row>
        <row r="37">
          <cell r="G37">
            <v>1022400</v>
          </cell>
        </row>
        <row r="38">
          <cell r="C38">
            <v>9007.1999999999989</v>
          </cell>
          <cell r="P38">
            <v>2150000</v>
          </cell>
        </row>
        <row r="39">
          <cell r="P39" t="str">
            <v>replacement cost</v>
          </cell>
        </row>
        <row r="40">
          <cell r="P40">
            <v>116.21621621621621</v>
          </cell>
        </row>
        <row r="41">
          <cell r="P41">
            <v>5000</v>
          </cell>
        </row>
        <row r="42">
          <cell r="P42">
            <v>0.8</v>
          </cell>
        </row>
        <row r="43">
          <cell r="G43">
            <v>3280.2000000000003</v>
          </cell>
          <cell r="H43">
            <v>3.85E-2</v>
          </cell>
        </row>
        <row r="44">
          <cell r="G44">
            <v>2032.0863794716438</v>
          </cell>
        </row>
        <row r="45">
          <cell r="G45">
            <v>5312.2863794716441</v>
          </cell>
        </row>
        <row r="47">
          <cell r="G47">
            <v>3616.6577871950221</v>
          </cell>
          <cell r="P47">
            <v>7429.65</v>
          </cell>
        </row>
        <row r="51">
          <cell r="G51">
            <v>0.55927697740129245</v>
          </cell>
        </row>
        <row r="52">
          <cell r="C52">
            <v>42972.67</v>
          </cell>
          <cell r="G52">
            <v>0.87351713917525808</v>
          </cell>
        </row>
        <row r="53">
          <cell r="G53">
            <v>0.10204507619047619</v>
          </cell>
        </row>
        <row r="54">
          <cell r="C54">
            <v>107147.33</v>
          </cell>
        </row>
        <row r="55">
          <cell r="G55">
            <v>1.6808100182947463</v>
          </cell>
        </row>
        <row r="58">
          <cell r="P58">
            <v>404.42</v>
          </cell>
        </row>
        <row r="59">
          <cell r="P59">
            <v>0.1361</v>
          </cell>
        </row>
        <row r="82">
          <cell r="G82">
            <v>77599.999999999956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42">
          <cell r="E42">
            <v>51238.240000000005</v>
          </cell>
          <cell r="G42">
            <v>112931</v>
          </cell>
          <cell r="O42">
            <v>5750</v>
          </cell>
          <cell r="R42">
            <v>92341</v>
          </cell>
          <cell r="S42">
            <v>20590</v>
          </cell>
        </row>
        <row r="44">
          <cell r="C44">
            <v>36</v>
          </cell>
          <cell r="E44">
            <v>0.81767628020649774</v>
          </cell>
          <cell r="G44">
            <v>0.83333333333333337</v>
          </cell>
        </row>
        <row r="45">
          <cell r="C45">
            <v>6</v>
          </cell>
          <cell r="E45">
            <v>0.18232371979350226</v>
          </cell>
          <cell r="G45">
            <v>0.16666666666666666</v>
          </cell>
        </row>
        <row r="55">
          <cell r="G55">
            <v>45728</v>
          </cell>
          <cell r="P55">
            <v>45296</v>
          </cell>
        </row>
        <row r="56">
          <cell r="G56">
            <v>4630000</v>
          </cell>
          <cell r="P56" t="str">
            <v>Dan &amp; Jose</v>
          </cell>
        </row>
        <row r="57">
          <cell r="C57">
            <v>614858.88</v>
          </cell>
        </row>
        <row r="59">
          <cell r="P59" t="str">
            <v>1M each / 2M total</v>
          </cell>
        </row>
        <row r="60">
          <cell r="P60">
            <v>0</v>
          </cell>
        </row>
        <row r="61">
          <cell r="G61">
            <v>2900000</v>
          </cell>
          <cell r="P61">
            <v>10260</v>
          </cell>
        </row>
        <row r="62">
          <cell r="G62">
            <v>2380819.73</v>
          </cell>
        </row>
        <row r="63">
          <cell r="C63">
            <v>36891.532800000001</v>
          </cell>
          <cell r="P63">
            <v>3100000</v>
          </cell>
        </row>
        <row r="64">
          <cell r="P64" t="str">
            <v>Actual cash value</v>
          </cell>
        </row>
        <row r="65">
          <cell r="P65">
            <v>27.450390061187804</v>
          </cell>
        </row>
        <row r="66">
          <cell r="P66">
            <v>5000</v>
          </cell>
        </row>
        <row r="67">
          <cell r="P67">
            <v>0.8</v>
          </cell>
        </row>
        <row r="68">
          <cell r="G68">
            <v>17062.541398333331</v>
          </cell>
          <cell r="H68">
            <v>8.5999999999999993E-2</v>
          </cell>
        </row>
        <row r="69">
          <cell r="G69">
            <v>3749.6979383776124</v>
          </cell>
        </row>
        <row r="70">
          <cell r="G70">
            <v>20812.239336710943</v>
          </cell>
          <cell r="P70">
            <v>5000</v>
          </cell>
        </row>
        <row r="71">
          <cell r="P71">
            <v>1.6129032258064516E-3</v>
          </cell>
        </row>
        <row r="72">
          <cell r="G72">
            <v>9126.1445966223873</v>
          </cell>
          <cell r="P72">
            <v>14850</v>
          </cell>
        </row>
        <row r="75">
          <cell r="P75">
            <v>689000</v>
          </cell>
        </row>
        <row r="76">
          <cell r="G76">
            <v>0.38841466691323967</v>
          </cell>
        </row>
        <row r="77">
          <cell r="G77">
            <v>0.54800425705618272</v>
          </cell>
        </row>
        <row r="78">
          <cell r="C78">
            <v>255598.27280000001</v>
          </cell>
          <cell r="G78">
            <v>0.123882968</v>
          </cell>
        </row>
        <row r="80">
          <cell r="C80">
            <v>359260.60719999997</v>
          </cell>
          <cell r="G80">
            <v>1.4384989259913361</v>
          </cell>
        </row>
        <row r="82">
          <cell r="P82">
            <v>1164.25</v>
          </cell>
        </row>
        <row r="83">
          <cell r="P83">
            <v>1435.49</v>
          </cell>
        </row>
        <row r="84">
          <cell r="P84">
            <v>0.13600000000000001</v>
          </cell>
        </row>
        <row r="107">
          <cell r="G107">
            <v>281950.56594999996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1">
          <cell r="E31">
            <v>59888.689999999995</v>
          </cell>
          <cell r="G31">
            <v>118597</v>
          </cell>
          <cell r="O31">
            <v>0</v>
          </cell>
          <cell r="R31">
            <v>118597</v>
          </cell>
          <cell r="S31">
            <v>0</v>
          </cell>
        </row>
        <row r="33">
          <cell r="C33">
            <v>25</v>
          </cell>
          <cell r="E33">
            <v>1</v>
          </cell>
          <cell r="G33">
            <v>0.96</v>
          </cell>
        </row>
        <row r="34">
          <cell r="C34">
            <v>1</v>
          </cell>
          <cell r="E34">
            <v>0</v>
          </cell>
          <cell r="G34">
            <v>0.04</v>
          </cell>
        </row>
        <row r="44">
          <cell r="G44">
            <v>45323</v>
          </cell>
          <cell r="P44">
            <v>45387</v>
          </cell>
        </row>
        <row r="45">
          <cell r="G45">
            <v>4200000</v>
          </cell>
          <cell r="P45" t="str">
            <v>Micah Mattox</v>
          </cell>
          <cell r="AA45">
            <v>400000</v>
          </cell>
        </row>
        <row r="46">
          <cell r="C46">
            <v>718664.27999999991</v>
          </cell>
        </row>
        <row r="48">
          <cell r="P48" t="str">
            <v>1M each / 2M total</v>
          </cell>
        </row>
        <row r="49">
          <cell r="P49">
            <v>0</v>
          </cell>
        </row>
        <row r="50">
          <cell r="G50">
            <v>3900000</v>
          </cell>
          <cell r="P50">
            <v>11952</v>
          </cell>
        </row>
        <row r="51">
          <cell r="G51">
            <v>2925000</v>
          </cell>
        </row>
        <row r="52">
          <cell r="C52">
            <v>43119.856799999994</v>
          </cell>
        </row>
        <row r="53">
          <cell r="P53">
            <v>15919015</v>
          </cell>
        </row>
        <row r="54">
          <cell r="P54" t="str">
            <v>replacement cost</v>
          </cell>
        </row>
        <row r="55">
          <cell r="P55">
            <v>134.22780508781841</v>
          </cell>
        </row>
        <row r="56">
          <cell r="P56">
            <v>10000</v>
          </cell>
        </row>
        <row r="57">
          <cell r="G57">
            <v>20614.583333333332</v>
          </cell>
          <cell r="H57">
            <v>7.4999999999999997E-2</v>
          </cell>
          <cell r="P57">
            <v>0</v>
          </cell>
        </row>
        <row r="58">
          <cell r="G58">
            <v>3334.2419505756843</v>
          </cell>
        </row>
        <row r="59">
          <cell r="G59">
            <v>23948.825283909016</v>
          </cell>
        </row>
        <row r="60">
          <cell r="P60">
            <v>0</v>
          </cell>
        </row>
        <row r="61">
          <cell r="G61">
            <v>19295.181649424314</v>
          </cell>
          <cell r="P61">
            <v>0</v>
          </cell>
        </row>
        <row r="62">
          <cell r="P62">
            <v>19236</v>
          </cell>
        </row>
        <row r="65">
          <cell r="G65">
            <v>0.40415740205217271</v>
          </cell>
          <cell r="P65">
            <v>774815</v>
          </cell>
        </row>
        <row r="66">
          <cell r="G66">
            <v>0.47399652505406692</v>
          </cell>
        </row>
        <row r="67">
          <cell r="C67">
            <v>199736.19679999998</v>
          </cell>
          <cell r="G67">
            <v>0.13305848287179486</v>
          </cell>
        </row>
        <row r="69">
          <cell r="C69">
            <v>518928.08319999994</v>
          </cell>
          <cell r="G69">
            <v>1.8056838454781563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96">
          <cell r="G96">
            <v>572901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0">
          <cell r="E30">
            <v>108639.39000000001</v>
          </cell>
          <cell r="G30">
            <v>164486</v>
          </cell>
          <cell r="R30">
            <v>164278</v>
          </cell>
          <cell r="S30">
            <v>208</v>
          </cell>
        </row>
        <row r="32">
          <cell r="C32">
            <v>24</v>
          </cell>
          <cell r="E32">
            <v>0.99873545468915292</v>
          </cell>
          <cell r="G32">
            <v>1</v>
          </cell>
        </row>
        <row r="33">
          <cell r="C33">
            <v>0</v>
          </cell>
          <cell r="E33">
            <v>1.2645453108470761E-3</v>
          </cell>
          <cell r="G33">
            <v>0</v>
          </cell>
        </row>
        <row r="43">
          <cell r="G43">
            <v>45383</v>
          </cell>
          <cell r="P43">
            <v>45653</v>
          </cell>
        </row>
        <row r="44">
          <cell r="G44">
            <v>10500000</v>
          </cell>
          <cell r="P44" t="str">
            <v>Micah Mattox</v>
          </cell>
        </row>
        <row r="45">
          <cell r="C45">
            <v>1303672.68</v>
          </cell>
        </row>
        <row r="47">
          <cell r="P47" t="str">
            <v>1M each / 2M total</v>
          </cell>
        </row>
        <row r="48">
          <cell r="P48">
            <v>0</v>
          </cell>
        </row>
        <row r="49">
          <cell r="G49">
            <v>9500000</v>
          </cell>
          <cell r="P49">
            <v>8997.0400000000009</v>
          </cell>
        </row>
        <row r="50">
          <cell r="G50">
            <v>7560000</v>
          </cell>
          <cell r="P50">
            <v>24006150</v>
          </cell>
        </row>
        <row r="51">
          <cell r="C51">
            <v>78220.360799999995</v>
          </cell>
          <cell r="P51" t="str">
            <v>Replacement cost</v>
          </cell>
        </row>
        <row r="52">
          <cell r="P52">
            <v>145.94646352881097</v>
          </cell>
        </row>
        <row r="53">
          <cell r="P53">
            <v>100000</v>
          </cell>
        </row>
        <row r="54">
          <cell r="P54">
            <v>0</v>
          </cell>
        </row>
        <row r="56">
          <cell r="G56">
            <v>43155.000000000007</v>
          </cell>
          <cell r="H56">
            <v>6.8500000000000005E-2</v>
          </cell>
        </row>
        <row r="57">
          <cell r="G57">
            <v>9556.2821411590267</v>
          </cell>
          <cell r="P57">
            <v>1200307.5</v>
          </cell>
        </row>
        <row r="58">
          <cell r="G58">
            <v>52711.282141159034</v>
          </cell>
          <cell r="P58">
            <v>0.05</v>
          </cell>
        </row>
        <row r="59">
          <cell r="P59">
            <v>49606.96</v>
          </cell>
        </row>
        <row r="60">
          <cell r="G60">
            <v>17631.866958840961</v>
          </cell>
        </row>
        <row r="62">
          <cell r="P62">
            <v>1094710</v>
          </cell>
        </row>
        <row r="64">
          <cell r="G64">
            <v>0.10147428622026335</v>
          </cell>
        </row>
        <row r="65">
          <cell r="C65">
            <v>459554.89079999999</v>
          </cell>
          <cell r="G65">
            <v>0.15647225730620823</v>
          </cell>
        </row>
        <row r="66">
          <cell r="G66">
            <v>8.8854504126315792E-2</v>
          </cell>
        </row>
        <row r="67">
          <cell r="C67">
            <v>844117.7892</v>
          </cell>
        </row>
        <row r="68">
          <cell r="G68">
            <v>1.334498920205041</v>
          </cell>
        </row>
        <row r="70">
          <cell r="P70">
            <v>1904.79</v>
          </cell>
        </row>
        <row r="71">
          <cell r="P71">
            <v>9.4700000000000006E-2</v>
          </cell>
        </row>
        <row r="95">
          <cell r="G95">
            <v>2085083.93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26">
          <cell r="D26">
            <v>7601</v>
          </cell>
          <cell r="G26">
            <v>188659</v>
          </cell>
          <cell r="O26">
            <v>3200</v>
          </cell>
          <cell r="R26">
            <v>184259</v>
          </cell>
          <cell r="S26">
            <v>4400</v>
          </cell>
        </row>
        <row r="28">
          <cell r="C28">
            <v>20</v>
          </cell>
          <cell r="E28">
            <v>0.97667749749548127</v>
          </cell>
          <cell r="G28">
            <v>0.9</v>
          </cell>
        </row>
        <row r="29">
          <cell r="C29">
            <v>2</v>
          </cell>
          <cell r="E29">
            <v>2.3322502504518727E-2</v>
          </cell>
          <cell r="G29">
            <v>0.1</v>
          </cell>
        </row>
        <row r="39">
          <cell r="G39">
            <v>45658</v>
          </cell>
          <cell r="P39">
            <v>45777</v>
          </cell>
        </row>
        <row r="40">
          <cell r="G40">
            <v>7325000</v>
          </cell>
          <cell r="P40" t="str">
            <v>Micha Mattox</v>
          </cell>
        </row>
        <row r="41">
          <cell r="C41">
            <v>1253462.3999999999</v>
          </cell>
        </row>
        <row r="43">
          <cell r="P43" t="str">
            <v>1M each / 2M total</v>
          </cell>
        </row>
        <row r="44">
          <cell r="P44">
            <v>5000</v>
          </cell>
        </row>
        <row r="45">
          <cell r="G45">
            <v>6400000</v>
          </cell>
          <cell r="P45">
            <v>23329</v>
          </cell>
        </row>
        <row r="46">
          <cell r="G46">
            <v>5120000</v>
          </cell>
          <cell r="P46">
            <v>5000000</v>
          </cell>
        </row>
        <row r="47">
          <cell r="C47">
            <v>75207.743999999992</v>
          </cell>
          <cell r="P47" t="str">
            <v>Actual cash value</v>
          </cell>
        </row>
        <row r="48">
          <cell r="P48">
            <v>26.502843755134926</v>
          </cell>
        </row>
        <row r="49">
          <cell r="P49">
            <v>25000</v>
          </cell>
        </row>
        <row r="50">
          <cell r="P50">
            <v>0</v>
          </cell>
        </row>
        <row r="52">
          <cell r="G52">
            <v>23466.666666666668</v>
          </cell>
          <cell r="H52">
            <v>5.5E-2</v>
          </cell>
        </row>
        <row r="53">
          <cell r="G53">
            <v>0</v>
          </cell>
          <cell r="P53">
            <v>250000</v>
          </cell>
        </row>
        <row r="54">
          <cell r="G54">
            <v>23466.666666666668</v>
          </cell>
          <cell r="P54">
            <v>0.05</v>
          </cell>
        </row>
        <row r="55">
          <cell r="P55">
            <v>102910.28</v>
          </cell>
        </row>
        <row r="56">
          <cell r="G56">
            <v>50361.708833333323</v>
          </cell>
        </row>
        <row r="58">
          <cell r="P58" t="str">
            <v>?</v>
          </cell>
        </row>
        <row r="60">
          <cell r="G60">
            <v>0.47499096610915487</v>
          </cell>
        </row>
        <row r="61">
          <cell r="G61">
            <v>0.47499096610915487</v>
          </cell>
          <cell r="P61">
            <v>50000</v>
          </cell>
        </row>
        <row r="62">
          <cell r="C62">
            <v>367521.89399999997</v>
          </cell>
          <cell r="G62">
            <v>0.13842820406249998</v>
          </cell>
          <cell r="P62">
            <v>3500000</v>
          </cell>
        </row>
        <row r="63">
          <cell r="P63">
            <v>31427.87</v>
          </cell>
        </row>
        <row r="64">
          <cell r="C64">
            <v>885940.50599999994</v>
          </cell>
          <cell r="G64">
            <v>3.1460955468749998</v>
          </cell>
        </row>
        <row r="65">
          <cell r="P65">
            <v>10000</v>
          </cell>
        </row>
        <row r="66">
          <cell r="P66">
            <v>3078</v>
          </cell>
        </row>
        <row r="67">
          <cell r="P67">
            <v>8.6699999999999999E-2</v>
          </cell>
        </row>
        <row r="93">
          <cell r="G93">
            <v>1272319.9999999998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Brochure Proforma"/>
      <sheetName val="Rent Roll Broshure"/>
      <sheetName val="amo 1 "/>
      <sheetName val="amo 2"/>
    </sheetNames>
    <sheetDataSet>
      <sheetData sheetId="0">
        <row r="3">
          <cell r="C3">
            <v>45849</v>
          </cell>
        </row>
        <row r="23">
          <cell r="E23">
            <v>45703.19</v>
          </cell>
          <cell r="G23">
            <v>137010</v>
          </cell>
          <cell r="O23">
            <v>14000</v>
          </cell>
          <cell r="R23">
            <v>107699</v>
          </cell>
          <cell r="S23">
            <v>29311</v>
          </cell>
        </row>
        <row r="25">
          <cell r="C25">
            <v>10</v>
          </cell>
          <cell r="E25">
            <v>0.7860667104590906</v>
          </cell>
          <cell r="G25">
            <v>0.6</v>
          </cell>
        </row>
        <row r="26">
          <cell r="C26">
            <v>4</v>
          </cell>
          <cell r="E26">
            <v>0.2139332895409094</v>
          </cell>
          <cell r="G26">
            <v>0.4</v>
          </cell>
        </row>
        <row r="36">
          <cell r="G36">
            <v>45811</v>
          </cell>
          <cell r="P36">
            <v>45849</v>
          </cell>
        </row>
        <row r="37">
          <cell r="G37">
            <v>3950000</v>
          </cell>
          <cell r="P37" t="str">
            <v xml:space="preserve">Damaris, Myriam, Ryan, Silvia </v>
          </cell>
        </row>
        <row r="38">
          <cell r="C38">
            <v>548438.28</v>
          </cell>
        </row>
        <row r="40">
          <cell r="P40" t="str">
            <v>1M each / 2M total</v>
          </cell>
        </row>
        <row r="41">
          <cell r="P41">
            <v>500</v>
          </cell>
        </row>
        <row r="42">
          <cell r="G42">
            <v>3400000</v>
          </cell>
          <cell r="P42">
            <v>8380</v>
          </cell>
        </row>
        <row r="43">
          <cell r="G43">
            <v>2800000</v>
          </cell>
          <cell r="P43">
            <v>11475425</v>
          </cell>
        </row>
        <row r="44">
          <cell r="C44">
            <v>32906.296800000004</v>
          </cell>
          <cell r="P44" t="str">
            <v>replacement cost</v>
          </cell>
        </row>
        <row r="45">
          <cell r="P45">
            <v>83.756112692504203</v>
          </cell>
        </row>
        <row r="46">
          <cell r="P46">
            <v>100000</v>
          </cell>
        </row>
        <row r="47">
          <cell r="P47">
            <v>0</v>
          </cell>
        </row>
        <row r="49">
          <cell r="G49">
            <v>15750</v>
          </cell>
          <cell r="H49">
            <v>6.7500000000000004E-2</v>
          </cell>
        </row>
        <row r="50">
          <cell r="G50">
            <v>3595.5227059541085</v>
          </cell>
          <cell r="P50">
            <v>150000</v>
          </cell>
        </row>
        <row r="51">
          <cell r="G51">
            <v>19345.522705954107</v>
          </cell>
          <cell r="P51">
            <v>0.05</v>
          </cell>
        </row>
        <row r="52">
          <cell r="P52">
            <v>24900</v>
          </cell>
        </row>
        <row r="53">
          <cell r="G53">
            <v>13238.95506071256</v>
          </cell>
        </row>
        <row r="55">
          <cell r="G55">
            <v>10996.455060712562</v>
          </cell>
        </row>
        <row r="58">
          <cell r="C58">
            <v>157424.54680000001</v>
          </cell>
        </row>
        <row r="59">
          <cell r="G59">
            <v>0.27809133334129915</v>
          </cell>
        </row>
        <row r="60">
          <cell r="C60">
            <v>391013.73320000002</v>
          </cell>
          <cell r="G60">
            <v>0.35361721123516049</v>
          </cell>
        </row>
        <row r="61">
          <cell r="G61">
            <v>0.11500403917647059</v>
          </cell>
        </row>
        <row r="63">
          <cell r="G63">
            <v>1.6843420703560474</v>
          </cell>
          <cell r="P63">
            <v>780.25</v>
          </cell>
        </row>
        <row r="64">
          <cell r="P64">
            <v>9.4700000000000006E-2</v>
          </cell>
        </row>
        <row r="91">
          <cell r="G91">
            <v>571278.00000000012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Brochure Proforma"/>
      <sheetName val="Rent Roll Broshure"/>
      <sheetName val="amo 1 "/>
      <sheetName val="amo 2"/>
    </sheetNames>
    <sheetDataSet>
      <sheetData sheetId="0">
        <row r="3">
          <cell r="C3">
            <v>46009</v>
          </cell>
        </row>
        <row r="20">
          <cell r="E20">
            <v>34117.659999999996</v>
          </cell>
          <cell r="G20">
            <v>97075</v>
          </cell>
          <cell r="O20">
            <v>1800</v>
          </cell>
          <cell r="R20">
            <v>93075</v>
          </cell>
          <cell r="S20">
            <v>4000</v>
          </cell>
        </row>
        <row r="22">
          <cell r="C22">
            <v>14</v>
          </cell>
          <cell r="E22">
            <v>0.95879474633015704</v>
          </cell>
          <cell r="G22">
            <v>0.9285714285714286</v>
          </cell>
        </row>
        <row r="23">
          <cell r="C23">
            <v>1</v>
          </cell>
          <cell r="E23">
            <v>4.1205253669842956E-2</v>
          </cell>
          <cell r="G23">
            <v>7.1428571428571425E-2</v>
          </cell>
        </row>
        <row r="33">
          <cell r="G33">
            <v>45932</v>
          </cell>
          <cell r="P33">
            <v>46009</v>
          </cell>
        </row>
        <row r="34">
          <cell r="G34">
            <v>3800000</v>
          </cell>
          <cell r="P34" t="str">
            <v xml:space="preserve">Damaris, Myriam, Ryan, Silvia </v>
          </cell>
          <cell r="AA34">
            <v>400000</v>
          </cell>
        </row>
        <row r="35">
          <cell r="C35">
            <v>443411.92</v>
          </cell>
        </row>
        <row r="37">
          <cell r="P37" t="str">
            <v>1M each / 2M total</v>
          </cell>
        </row>
        <row r="38">
          <cell r="P38">
            <v>500</v>
          </cell>
        </row>
        <row r="39">
          <cell r="G39">
            <v>3400000</v>
          </cell>
          <cell r="P39">
            <v>0</v>
          </cell>
        </row>
        <row r="40">
          <cell r="G40">
            <v>2850000</v>
          </cell>
          <cell r="P40">
            <v>3000000</v>
          </cell>
        </row>
        <row r="41">
          <cell r="C41">
            <v>26604.715199999999</v>
          </cell>
          <cell r="P41" t="str">
            <v>Actual cash value</v>
          </cell>
        </row>
        <row r="42">
          <cell r="P42">
            <v>30.903940252382178</v>
          </cell>
        </row>
        <row r="43">
          <cell r="P43">
            <v>10000</v>
          </cell>
        </row>
        <row r="46">
          <cell r="G46">
            <v>15437.5</v>
          </cell>
          <cell r="H46">
            <v>6.5000000000000002E-2</v>
          </cell>
        </row>
        <row r="47">
          <cell r="G47">
            <v>3805.9040984077292</v>
          </cell>
          <cell r="P47">
            <v>60000</v>
          </cell>
        </row>
        <row r="48">
          <cell r="G48">
            <v>19243.404098407729</v>
          </cell>
          <cell r="P48">
            <v>0.02</v>
          </cell>
        </row>
        <row r="49">
          <cell r="P49">
            <v>30224.48</v>
          </cell>
        </row>
        <row r="50">
          <cell r="G50">
            <v>9663.9338015922694</v>
          </cell>
        </row>
        <row r="54">
          <cell r="G54">
            <v>0.1978454333549903</v>
          </cell>
        </row>
        <row r="55">
          <cell r="C55">
            <v>96523.8652</v>
          </cell>
          <cell r="G55">
            <v>0.27576202106308767</v>
          </cell>
        </row>
        <row r="56">
          <cell r="G56">
            <v>0.10202589847058822</v>
          </cell>
        </row>
        <row r="57">
          <cell r="C57">
            <v>346888.05479999998</v>
          </cell>
        </row>
        <row r="58">
          <cell r="G58">
            <v>1.5021946092371412</v>
          </cell>
        </row>
        <row r="60">
          <cell r="P60">
            <v>1375.05</v>
          </cell>
        </row>
        <row r="61">
          <cell r="P61">
            <v>0.12620000000000001</v>
          </cell>
        </row>
        <row r="85">
          <cell r="G85">
            <v>586150.52999999991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4">
          <cell r="C4">
            <v>45960</v>
          </cell>
        </row>
        <row r="8">
          <cell r="E8">
            <v>0</v>
          </cell>
          <cell r="O8">
            <v>120000</v>
          </cell>
          <cell r="R8">
            <v>0</v>
          </cell>
        </row>
        <row r="10">
          <cell r="C10">
            <v>0</v>
          </cell>
          <cell r="E10">
            <v>0</v>
          </cell>
        </row>
        <row r="21">
          <cell r="P21">
            <v>45962</v>
          </cell>
        </row>
        <row r="23">
          <cell r="C23">
            <v>0</v>
          </cell>
          <cell r="P23" t="str">
            <v>Miami Insurance Brokers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320000</v>
          </cell>
          <cell r="P27">
            <v>1160.7</v>
          </cell>
        </row>
        <row r="28">
          <cell r="G28">
            <v>200000</v>
          </cell>
        </row>
        <row r="29">
          <cell r="C29">
            <v>0</v>
          </cell>
        </row>
        <row r="34">
          <cell r="G34">
            <v>666.66666666666663</v>
          </cell>
          <cell r="H34">
            <v>0.04</v>
          </cell>
        </row>
        <row r="35">
          <cell r="G35">
            <v>0</v>
          </cell>
        </row>
        <row r="36">
          <cell r="G36">
            <v>666.66666666666663</v>
          </cell>
        </row>
        <row r="38">
          <cell r="G38">
            <v>-1231.4749999999999</v>
          </cell>
        </row>
        <row r="42">
          <cell r="G42">
            <v>-0.10406830985915493</v>
          </cell>
        </row>
        <row r="43">
          <cell r="C43">
            <v>6777.7</v>
          </cell>
          <cell r="G43">
            <v>-0.10406830985915493</v>
          </cell>
        </row>
        <row r="44">
          <cell r="G44">
            <v>-2.1180312499999999E-2</v>
          </cell>
        </row>
        <row r="45">
          <cell r="C45">
            <v>-6777.7</v>
          </cell>
        </row>
        <row r="46">
          <cell r="G46">
            <v>-0.84721249999999992</v>
          </cell>
        </row>
        <row r="48">
          <cell r="P48">
            <v>0</v>
          </cell>
        </row>
        <row r="49">
          <cell r="P49">
            <v>0</v>
          </cell>
          <cell r="AA49">
            <v>10000</v>
          </cell>
        </row>
        <row r="73">
          <cell r="G73">
            <v>142000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43546</v>
          </cell>
        </row>
        <row r="11">
          <cell r="E11">
            <v>7915.25</v>
          </cell>
          <cell r="G11">
            <v>6658</v>
          </cell>
          <cell r="O11">
            <v>0</v>
          </cell>
          <cell r="R11">
            <v>6658</v>
          </cell>
        </row>
        <row r="13">
          <cell r="C13">
            <v>5</v>
          </cell>
          <cell r="E13">
            <v>1</v>
          </cell>
          <cell r="G13">
            <v>1</v>
          </cell>
        </row>
        <row r="14">
          <cell r="C14">
            <v>0</v>
          </cell>
          <cell r="E14">
            <v>0</v>
          </cell>
          <cell r="G14">
            <v>0</v>
          </cell>
        </row>
        <row r="24">
          <cell r="G24">
            <v>44403</v>
          </cell>
          <cell r="P24">
            <v>45992</v>
          </cell>
        </row>
        <row r="25">
          <cell r="G25">
            <v>845000</v>
          </cell>
        </row>
        <row r="26">
          <cell r="C26">
            <v>94983</v>
          </cell>
          <cell r="P26" t="str">
            <v>Jone</v>
          </cell>
        </row>
        <row r="28">
          <cell r="P28" t="str">
            <v>1M each / 2M total</v>
          </cell>
        </row>
        <row r="29">
          <cell r="P29">
            <v>500</v>
          </cell>
        </row>
        <row r="30">
          <cell r="G30">
            <v>425000</v>
          </cell>
          <cell r="P30">
            <v>0</v>
          </cell>
        </row>
        <row r="31">
          <cell r="G31">
            <v>591500</v>
          </cell>
          <cell r="P31">
            <v>825000</v>
          </cell>
        </row>
        <row r="32">
          <cell r="C32">
            <v>5698.98</v>
          </cell>
          <cell r="P32" t="str">
            <v>Actual cash value</v>
          </cell>
        </row>
        <row r="33">
          <cell r="P33">
            <v>123.91108440973265</v>
          </cell>
        </row>
        <row r="34">
          <cell r="P34">
            <v>2500</v>
          </cell>
        </row>
        <row r="35">
          <cell r="P35">
            <v>0.8</v>
          </cell>
        </row>
        <row r="37">
          <cell r="G37">
            <v>1922.375</v>
          </cell>
          <cell r="H37">
            <v>3.9E-2</v>
          </cell>
        </row>
        <row r="38">
          <cell r="G38">
            <v>1167.2127060256512</v>
          </cell>
        </row>
        <row r="39">
          <cell r="G39">
            <v>3089.5877060256512</v>
          </cell>
        </row>
        <row r="40">
          <cell r="P40">
            <v>4504.6499999999996</v>
          </cell>
        </row>
        <row r="41">
          <cell r="G41">
            <v>2514.316460641016</v>
          </cell>
        </row>
        <row r="45">
          <cell r="G45" t="e">
            <v>#DIV/0!</v>
          </cell>
        </row>
        <row r="46">
          <cell r="C46">
            <v>27736.15</v>
          </cell>
          <cell r="G46" t="e">
            <v>#DIV/0!</v>
          </cell>
        </row>
        <row r="47">
          <cell r="G47">
            <v>0.15822788235294119</v>
          </cell>
        </row>
        <row r="48">
          <cell r="C48">
            <v>67246.850000000006</v>
          </cell>
        </row>
        <row r="49">
          <cell r="G49">
            <v>1.8138032319773028</v>
          </cell>
        </row>
        <row r="51">
          <cell r="P51">
            <v>247</v>
          </cell>
        </row>
        <row r="52">
          <cell r="P52">
            <v>0.18140000000000001</v>
          </cell>
          <cell r="AA52">
            <v>220000</v>
          </cell>
        </row>
        <row r="76">
          <cell r="G76">
            <v>-127370.00000000003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28">
          <cell r="E28">
            <v>6428</v>
          </cell>
          <cell r="G28">
            <v>179480</v>
          </cell>
          <cell r="O28">
            <v>36500</v>
          </cell>
          <cell r="R28">
            <v>19577</v>
          </cell>
          <cell r="S28">
            <v>159903</v>
          </cell>
        </row>
        <row r="30">
          <cell r="C30">
            <v>22</v>
          </cell>
          <cell r="E30">
            <v>0.10907622019166481</v>
          </cell>
          <cell r="G30">
            <v>0.27272727272727271</v>
          </cell>
        </row>
        <row r="31">
          <cell r="C31">
            <v>16</v>
          </cell>
          <cell r="E31">
            <v>0.89092377980833515</v>
          </cell>
          <cell r="G31">
            <v>0.72727272727272729</v>
          </cell>
        </row>
        <row r="41">
          <cell r="G41">
            <v>44743</v>
          </cell>
          <cell r="P41">
            <v>45580</v>
          </cell>
        </row>
        <row r="42">
          <cell r="G42">
            <v>2000000</v>
          </cell>
          <cell r="P42" t="str">
            <v>Dan &amp; Jose</v>
          </cell>
        </row>
        <row r="43">
          <cell r="C43">
            <v>77136</v>
          </cell>
        </row>
        <row r="45">
          <cell r="P45" t="str">
            <v>1M each / 2M total</v>
          </cell>
        </row>
        <row r="46">
          <cell r="P46">
            <v>0</v>
          </cell>
        </row>
        <row r="47">
          <cell r="G47">
            <v>2000000</v>
          </cell>
          <cell r="P47">
            <v>4071.9</v>
          </cell>
        </row>
        <row r="48">
          <cell r="G48">
            <v>1500000</v>
          </cell>
          <cell r="P48">
            <v>1500000</v>
          </cell>
        </row>
        <row r="49">
          <cell r="C49">
            <v>4628.16</v>
          </cell>
          <cell r="P49" t="str">
            <v>Loan amount</v>
          </cell>
        </row>
        <row r="50">
          <cell r="P50">
            <v>8.3574771562291055</v>
          </cell>
        </row>
        <row r="51">
          <cell r="P51">
            <v>0</v>
          </cell>
        </row>
        <row r="52">
          <cell r="P52">
            <v>0</v>
          </cell>
        </row>
        <row r="54">
          <cell r="G54">
            <v>4987.5</v>
          </cell>
          <cell r="H54">
            <v>3.9899999999999998E-2</v>
          </cell>
        </row>
        <row r="55">
          <cell r="G55">
            <v>2921.7726371230228</v>
          </cell>
          <cell r="P55">
            <v>0</v>
          </cell>
        </row>
        <row r="56">
          <cell r="G56">
            <v>7909.2726371230228</v>
          </cell>
          <cell r="P56">
            <v>0</v>
          </cell>
        </row>
        <row r="57">
          <cell r="P57">
            <v>23825.97</v>
          </cell>
        </row>
        <row r="58">
          <cell r="G58">
            <v>-7008.1043037896907</v>
          </cell>
        </row>
        <row r="60">
          <cell r="P60">
            <v>0</v>
          </cell>
        </row>
        <row r="62">
          <cell r="G62">
            <v>-0.16404354541770302</v>
          </cell>
        </row>
        <row r="63">
          <cell r="G63">
            <v>-9.5651592113168413E-2</v>
          </cell>
        </row>
        <row r="64">
          <cell r="C64">
            <v>66321.98000000001</v>
          </cell>
          <cell r="G64">
            <v>5.4070099999999951E-3</v>
          </cell>
        </row>
        <row r="66">
          <cell r="C66">
            <v>10814.01999999999</v>
          </cell>
          <cell r="G66">
            <v>0.11393820578438552</v>
          </cell>
        </row>
        <row r="69">
          <cell r="P69">
            <v>0</v>
          </cell>
        </row>
        <row r="93">
          <cell r="G93">
            <v>512652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44100</v>
          </cell>
        </row>
        <row r="14">
          <cell r="E14">
            <v>13002</v>
          </cell>
          <cell r="G14">
            <v>24000</v>
          </cell>
          <cell r="O14">
            <v>2000</v>
          </cell>
          <cell r="R14">
            <v>22000</v>
          </cell>
        </row>
        <row r="16">
          <cell r="C16">
            <v>8</v>
          </cell>
          <cell r="E16">
            <v>0.91666666666666663</v>
          </cell>
          <cell r="G16">
            <v>0.75</v>
          </cell>
        </row>
        <row r="17">
          <cell r="C17">
            <v>2</v>
          </cell>
          <cell r="E17">
            <v>8.333333333333337E-2</v>
          </cell>
          <cell r="G17">
            <v>0.25</v>
          </cell>
        </row>
        <row r="27">
          <cell r="G27">
            <v>44678</v>
          </cell>
          <cell r="P27">
            <v>45688</v>
          </cell>
        </row>
        <row r="28">
          <cell r="G28">
            <v>1530000</v>
          </cell>
          <cell r="P28" t="str">
            <v>Jone</v>
          </cell>
        </row>
        <row r="29">
          <cell r="C29">
            <v>156024</v>
          </cell>
        </row>
        <row r="31">
          <cell r="P31" t="str">
            <v>1M each / 2M total</v>
          </cell>
        </row>
        <row r="32">
          <cell r="P32" t="str">
            <v>?</v>
          </cell>
        </row>
        <row r="33">
          <cell r="G33">
            <v>983863</v>
          </cell>
          <cell r="P33">
            <v>2599.8000000000002</v>
          </cell>
        </row>
        <row r="34">
          <cell r="G34">
            <v>894933.21</v>
          </cell>
          <cell r="P34">
            <v>3285441</v>
          </cell>
        </row>
        <row r="35">
          <cell r="C35">
            <v>9361.44</v>
          </cell>
          <cell r="P35" t="str">
            <v>replacement cost</v>
          </cell>
        </row>
        <row r="36">
          <cell r="P36">
            <v>136.89337499999999</v>
          </cell>
        </row>
        <row r="37">
          <cell r="P37">
            <v>10000</v>
          </cell>
        </row>
        <row r="38">
          <cell r="P38">
            <v>0</v>
          </cell>
        </row>
        <row r="40">
          <cell r="G40">
            <v>3669.226161</v>
          </cell>
          <cell r="H40">
            <v>4.9200000000000001E-2</v>
          </cell>
        </row>
        <row r="41">
          <cell r="G41">
            <v>1520.8362571492785</v>
          </cell>
        </row>
        <row r="42">
          <cell r="G42">
            <v>5190.0624181492785</v>
          </cell>
        </row>
        <row r="43">
          <cell r="P43">
            <v>7912.9</v>
          </cell>
        </row>
        <row r="44">
          <cell r="G44">
            <v>2932.0450818507206</v>
          </cell>
        </row>
        <row r="46">
          <cell r="P46">
            <v>225000</v>
          </cell>
        </row>
        <row r="48">
          <cell r="G48" t="e">
            <v>#DIV/0!</v>
          </cell>
        </row>
        <row r="49">
          <cell r="C49">
            <v>58558.710000000006</v>
          </cell>
          <cell r="G49" t="e">
            <v>#DIV/0!</v>
          </cell>
          <cell r="P49">
            <v>50000</v>
          </cell>
        </row>
        <row r="50">
          <cell r="G50">
            <v>9.9063883894403987E-2</v>
          </cell>
          <cell r="P50">
            <v>500000</v>
          </cell>
        </row>
        <row r="51">
          <cell r="C51">
            <v>97465.29</v>
          </cell>
          <cell r="P51">
            <v>2859</v>
          </cell>
        </row>
        <row r="52">
          <cell r="G52">
            <v>1.5649344546604234</v>
          </cell>
        </row>
        <row r="54">
          <cell r="P54">
            <v>346.02</v>
          </cell>
        </row>
        <row r="55">
          <cell r="P55">
            <v>0.16700000000000001</v>
          </cell>
          <cell r="AA55">
            <v>80000</v>
          </cell>
        </row>
        <row r="79">
          <cell r="G79">
            <v>107653.78815000008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43718</v>
          </cell>
        </row>
        <row r="12">
          <cell r="E12">
            <v>6963.05</v>
          </cell>
          <cell r="G12">
            <v>10200</v>
          </cell>
          <cell r="O12">
            <v>1100</v>
          </cell>
          <cell r="R12">
            <v>8400</v>
          </cell>
          <cell r="S12">
            <v>1800</v>
          </cell>
        </row>
        <row r="14">
          <cell r="C14">
            <v>6</v>
          </cell>
          <cell r="E14">
            <v>0.82352941176470584</v>
          </cell>
          <cell r="G14">
            <v>0.83333333333333337</v>
          </cell>
        </row>
        <row r="15">
          <cell r="C15">
            <v>1</v>
          </cell>
          <cell r="E15">
            <v>0.17647058823529416</v>
          </cell>
          <cell r="G15">
            <v>0.16666666666666666</v>
          </cell>
        </row>
        <row r="25">
          <cell r="G25">
            <v>44678</v>
          </cell>
          <cell r="P25">
            <v>45684</v>
          </cell>
        </row>
        <row r="26">
          <cell r="G26">
            <v>1090000</v>
          </cell>
          <cell r="P26" t="str">
            <v>Jone</v>
          </cell>
        </row>
        <row r="27">
          <cell r="C27">
            <v>83556.600000000006</v>
          </cell>
        </row>
        <row r="29">
          <cell r="P29" t="str">
            <v>1M each / 2M total</v>
          </cell>
        </row>
        <row r="30">
          <cell r="P30" t="str">
            <v>?</v>
          </cell>
        </row>
        <row r="31">
          <cell r="G31">
            <v>335000</v>
          </cell>
          <cell r="P31">
            <v>1456.2</v>
          </cell>
        </row>
        <row r="32">
          <cell r="G32">
            <v>637566.79</v>
          </cell>
          <cell r="P32">
            <v>1263750</v>
          </cell>
        </row>
        <row r="33">
          <cell r="C33">
            <v>5013.3959999999997</v>
          </cell>
          <cell r="G33">
            <v>-302566.79000000004</v>
          </cell>
          <cell r="P33" t="str">
            <v>replacement cost</v>
          </cell>
        </row>
        <row r="34">
          <cell r="P34">
            <v>123.89705882352941</v>
          </cell>
        </row>
        <row r="35">
          <cell r="P35">
            <v>2500</v>
          </cell>
        </row>
        <row r="36">
          <cell r="P36">
            <v>0.8</v>
          </cell>
        </row>
        <row r="38">
          <cell r="G38">
            <v>2614.023839</v>
          </cell>
          <cell r="H38">
            <v>4.9200000000000001E-2</v>
          </cell>
        </row>
        <row r="39">
          <cell r="G39">
            <v>1083.4715705614281</v>
          </cell>
        </row>
        <row r="40">
          <cell r="G40">
            <v>3697.495409561428</v>
          </cell>
        </row>
        <row r="41">
          <cell r="P41">
            <v>4403.55</v>
          </cell>
        </row>
        <row r="42">
          <cell r="G42">
            <v>425.20409043857262</v>
          </cell>
        </row>
        <row r="46">
          <cell r="G46" t="e">
            <v>#DIV/0!</v>
          </cell>
        </row>
        <row r="47">
          <cell r="C47">
            <v>34084.205999999998</v>
          </cell>
          <cell r="G47" t="e">
            <v>#DIV/0!</v>
          </cell>
        </row>
        <row r="48">
          <cell r="G48">
            <v>0.14767878805970153</v>
          </cell>
        </row>
        <row r="49">
          <cell r="C49">
            <v>49472.394000000008</v>
          </cell>
        </row>
        <row r="50">
          <cell r="G50">
            <v>1.1149978683784241</v>
          </cell>
        </row>
        <row r="52">
          <cell r="P52">
            <v>288.14</v>
          </cell>
          <cell r="AA52">
            <v>120000</v>
          </cell>
        </row>
        <row r="53">
          <cell r="P53">
            <v>0.17910000000000001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44600</v>
          </cell>
        </row>
        <row r="7">
          <cell r="E7">
            <v>2150</v>
          </cell>
          <cell r="G7">
            <v>2184</v>
          </cell>
          <cell r="O7">
            <v>0</v>
          </cell>
          <cell r="R7">
            <v>2184</v>
          </cell>
          <cell r="S7">
            <v>0</v>
          </cell>
        </row>
        <row r="9">
          <cell r="C9">
            <v>1</v>
          </cell>
          <cell r="E9">
            <v>1</v>
          </cell>
          <cell r="G9">
            <v>1</v>
          </cell>
        </row>
        <row r="10">
          <cell r="C10">
            <v>0</v>
          </cell>
          <cell r="E10">
            <v>0</v>
          </cell>
          <cell r="G10">
            <v>0</v>
          </cell>
        </row>
        <row r="20">
          <cell r="G20">
            <v>44581</v>
          </cell>
          <cell r="P20">
            <v>45696</v>
          </cell>
        </row>
        <row r="21">
          <cell r="G21">
            <v>360000</v>
          </cell>
        </row>
        <row r="22">
          <cell r="C22">
            <v>25800</v>
          </cell>
          <cell r="P22" t="str">
            <v>Issah</v>
          </cell>
        </row>
        <row r="24">
          <cell r="P24">
            <v>100000</v>
          </cell>
        </row>
        <row r="25">
          <cell r="P25">
            <v>2500</v>
          </cell>
        </row>
        <row r="26">
          <cell r="G26">
            <v>360000</v>
          </cell>
          <cell r="P26">
            <v>0</v>
          </cell>
        </row>
        <row r="27">
          <cell r="G27">
            <v>342000</v>
          </cell>
          <cell r="P27">
            <v>381600</v>
          </cell>
        </row>
        <row r="28">
          <cell r="C28">
            <v>1548</v>
          </cell>
          <cell r="P28" t="str">
            <v>replacement cost</v>
          </cell>
        </row>
        <row r="29">
          <cell r="P29">
            <v>174.72527472527472</v>
          </cell>
        </row>
        <row r="30">
          <cell r="P30">
            <v>2500</v>
          </cell>
        </row>
        <row r="33">
          <cell r="G33">
            <v>1031.7</v>
          </cell>
          <cell r="H33">
            <v>3.6200000000000003E-2</v>
          </cell>
        </row>
        <row r="34">
          <cell r="G34">
            <v>527.03315026910968</v>
          </cell>
          <cell r="P34">
            <v>19080</v>
          </cell>
        </row>
        <row r="35">
          <cell r="G35">
            <v>1558.7331502691097</v>
          </cell>
          <cell r="P35">
            <v>0.05</v>
          </cell>
        </row>
        <row r="36">
          <cell r="P36">
            <v>2485</v>
          </cell>
        </row>
        <row r="37">
          <cell r="G37">
            <v>-256.70648360244309</v>
          </cell>
        </row>
        <row r="41">
          <cell r="G41">
            <v>-9.5756226398175812E-2</v>
          </cell>
        </row>
        <row r="42">
          <cell r="C42">
            <v>10175.68</v>
          </cell>
          <cell r="G42">
            <v>0.10083680447622001</v>
          </cell>
        </row>
        <row r="43">
          <cell r="G43">
            <v>4.3400888888888885E-2</v>
          </cell>
        </row>
        <row r="44">
          <cell r="C44">
            <v>15624.32</v>
          </cell>
        </row>
        <row r="45">
          <cell r="G45">
            <v>0.83531082048385019</v>
          </cell>
        </row>
        <row r="46">
          <cell r="P46">
            <v>8.51</v>
          </cell>
        </row>
        <row r="48">
          <cell r="P48">
            <v>0</v>
          </cell>
        </row>
        <row r="72">
          <cell r="G72">
            <v>32170.000000000015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44040</v>
          </cell>
        </row>
        <row r="7">
          <cell r="E7">
            <v>2500</v>
          </cell>
          <cell r="G7">
            <v>996</v>
          </cell>
          <cell r="O7">
            <v>0</v>
          </cell>
          <cell r="R7">
            <v>996</v>
          </cell>
          <cell r="S7">
            <v>0</v>
          </cell>
        </row>
        <row r="9">
          <cell r="C9">
            <v>1</v>
          </cell>
          <cell r="E9">
            <v>1</v>
          </cell>
          <cell r="G9">
            <v>0</v>
          </cell>
        </row>
        <row r="10">
          <cell r="C10">
            <v>1</v>
          </cell>
          <cell r="E10">
            <v>0</v>
          </cell>
          <cell r="G10">
            <v>1</v>
          </cell>
        </row>
        <row r="20">
          <cell r="G20">
            <v>44040</v>
          </cell>
          <cell r="P20">
            <v>45801</v>
          </cell>
        </row>
        <row r="21">
          <cell r="G21">
            <v>232000</v>
          </cell>
          <cell r="P21" t="str">
            <v>RealProtect</v>
          </cell>
        </row>
        <row r="22">
          <cell r="C22">
            <v>30000</v>
          </cell>
        </row>
        <row r="24">
          <cell r="P24" t="str">
            <v>1M each / 2M total</v>
          </cell>
        </row>
        <row r="25">
          <cell r="P25">
            <v>0</v>
          </cell>
        </row>
        <row r="26">
          <cell r="G26">
            <v>232000</v>
          </cell>
          <cell r="P26">
            <v>0</v>
          </cell>
        </row>
        <row r="27">
          <cell r="G27">
            <v>220400</v>
          </cell>
          <cell r="P27">
            <v>59760</v>
          </cell>
        </row>
        <row r="28">
          <cell r="C28">
            <v>1800</v>
          </cell>
        </row>
        <row r="29">
          <cell r="P29">
            <v>60</v>
          </cell>
        </row>
        <row r="30">
          <cell r="P30">
            <v>10000</v>
          </cell>
        </row>
        <row r="31">
          <cell r="P31">
            <v>0</v>
          </cell>
        </row>
        <row r="33">
          <cell r="G33">
            <v>528.04166666666663</v>
          </cell>
          <cell r="H33">
            <v>2.8750000000000001E-2</v>
          </cell>
        </row>
        <row r="34">
          <cell r="G34">
            <v>386.38135280905897</v>
          </cell>
          <cell r="P34">
            <v>10000</v>
          </cell>
        </row>
        <row r="35">
          <cell r="G35">
            <v>914.4230194757256</v>
          </cell>
          <cell r="P35">
            <v>0.16733601070950468</v>
          </cell>
        </row>
        <row r="36">
          <cell r="P36">
            <v>1391.25</v>
          </cell>
        </row>
        <row r="37">
          <cell r="G37">
            <v>717.29364719094087</v>
          </cell>
        </row>
        <row r="41">
          <cell r="G41">
            <v>0.34839811245411184</v>
          </cell>
        </row>
        <row r="42">
          <cell r="C42">
            <v>10419.4</v>
          </cell>
          <cell r="G42">
            <v>0.53606816158018256</v>
          </cell>
          <cell r="P42">
            <v>5000</v>
          </cell>
        </row>
        <row r="43">
          <cell r="G43">
            <v>8.4399137931034471E-2</v>
          </cell>
          <cell r="P43">
            <v>250000</v>
          </cell>
        </row>
        <row r="44">
          <cell r="C44">
            <v>19580.599999999999</v>
          </cell>
          <cell r="P44">
            <v>797</v>
          </cell>
        </row>
        <row r="45">
          <cell r="G45">
            <v>1.7844221240211049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  <cell r="AA48">
            <v>50000</v>
          </cell>
        </row>
        <row r="72">
          <cell r="G72">
            <v>24706.000000000011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45334</v>
          </cell>
        </row>
        <row r="7">
          <cell r="E7">
            <v>0</v>
          </cell>
          <cell r="G7">
            <v>2326</v>
          </cell>
          <cell r="O7">
            <v>6000</v>
          </cell>
          <cell r="R7">
            <v>0</v>
          </cell>
          <cell r="S7">
            <v>2326</v>
          </cell>
        </row>
        <row r="9">
          <cell r="C9">
            <v>1</v>
          </cell>
          <cell r="E9">
            <v>0</v>
          </cell>
          <cell r="G9">
            <v>0</v>
          </cell>
        </row>
        <row r="10">
          <cell r="C10">
            <v>1</v>
          </cell>
          <cell r="E10">
            <v>1</v>
          </cell>
          <cell r="G10">
            <v>1</v>
          </cell>
        </row>
        <row r="20">
          <cell r="G20">
            <v>45316</v>
          </cell>
          <cell r="P20">
            <v>46166</v>
          </cell>
        </row>
        <row r="21">
          <cell r="G21">
            <v>560000</v>
          </cell>
          <cell r="P21" t="str">
            <v>RealProtect</v>
          </cell>
        </row>
        <row r="22">
          <cell r="C22">
            <v>0</v>
          </cell>
        </row>
        <row r="24">
          <cell r="P24" t="str">
            <v>1M each / 2M total</v>
          </cell>
        </row>
        <row r="25">
          <cell r="P25">
            <v>0</v>
          </cell>
        </row>
        <row r="26">
          <cell r="G26">
            <v>560000</v>
          </cell>
          <cell r="P26">
            <v>0</v>
          </cell>
        </row>
        <row r="27">
          <cell r="G27">
            <v>532000</v>
          </cell>
          <cell r="P27">
            <v>111300</v>
          </cell>
        </row>
        <row r="28">
          <cell r="C28">
            <v>0</v>
          </cell>
          <cell r="P28" t="str">
            <v>Actual cash value</v>
          </cell>
        </row>
        <row r="29">
          <cell r="P29">
            <v>47.850386930352535</v>
          </cell>
        </row>
        <row r="30">
          <cell r="P30">
            <v>10000</v>
          </cell>
        </row>
        <row r="31">
          <cell r="P31">
            <v>0</v>
          </cell>
        </row>
        <row r="33">
          <cell r="G33">
            <v>2824.0333333333333</v>
          </cell>
          <cell r="H33">
            <v>6.3700000000000007E-2</v>
          </cell>
        </row>
        <row r="34">
          <cell r="G34">
            <v>724.97335175567605</v>
          </cell>
          <cell r="P34">
            <v>10000</v>
          </cell>
        </row>
        <row r="35">
          <cell r="G35">
            <v>3549.0066850890094</v>
          </cell>
          <cell r="P35">
            <v>8.9847259658580411E-2</v>
          </cell>
        </row>
        <row r="36">
          <cell r="P36">
            <v>2473.8000000000002</v>
          </cell>
        </row>
        <row r="37">
          <cell r="G37">
            <v>-4717.5000184223427</v>
          </cell>
        </row>
        <row r="41">
          <cell r="G41">
            <v>-1.177412650188604</v>
          </cell>
        </row>
        <row r="42">
          <cell r="C42">
            <v>14021.92</v>
          </cell>
          <cell r="G42">
            <v>-0.99647088186356014</v>
          </cell>
          <cell r="P42" t="str">
            <v>?</v>
          </cell>
        </row>
        <row r="43">
          <cell r="G43">
            <v>-2.5039142857142857E-2</v>
          </cell>
          <cell r="P43" t="str">
            <v>?</v>
          </cell>
        </row>
        <row r="44">
          <cell r="C44">
            <v>-14021.92</v>
          </cell>
          <cell r="P44">
            <v>950</v>
          </cell>
        </row>
        <row r="45">
          <cell r="G45">
            <v>-0.3292451767540211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  <cell r="AA48">
            <v>30000</v>
          </cell>
        </row>
        <row r="72">
          <cell r="G72">
            <v>48080.000000000029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44921</v>
          </cell>
        </row>
        <row r="7">
          <cell r="E7">
            <v>0</v>
          </cell>
          <cell r="G7">
            <v>1170</v>
          </cell>
          <cell r="O7">
            <v>1200</v>
          </cell>
          <cell r="R7">
            <v>0</v>
          </cell>
          <cell r="S7">
            <v>1170</v>
          </cell>
        </row>
        <row r="9">
          <cell r="C9">
            <v>1</v>
          </cell>
          <cell r="E9">
            <v>0</v>
          </cell>
          <cell r="G9">
            <v>0</v>
          </cell>
        </row>
        <row r="10">
          <cell r="C10">
            <v>1</v>
          </cell>
          <cell r="E10">
            <v>1</v>
          </cell>
          <cell r="G10">
            <v>1</v>
          </cell>
        </row>
        <row r="20">
          <cell r="G20">
            <v>44921</v>
          </cell>
        </row>
        <row r="21">
          <cell r="G21">
            <v>333000</v>
          </cell>
        </row>
        <row r="22">
          <cell r="C22">
            <v>0</v>
          </cell>
        </row>
        <row r="26">
          <cell r="C26">
            <v>547</v>
          </cell>
          <cell r="G26">
            <v>333000</v>
          </cell>
        </row>
        <row r="27">
          <cell r="G27">
            <v>269730</v>
          </cell>
        </row>
        <row r="28">
          <cell r="C28">
            <v>0</v>
          </cell>
        </row>
        <row r="33">
          <cell r="G33">
            <v>944.05499999999995</v>
          </cell>
          <cell r="H33">
            <v>4.2000000000000003E-2</v>
          </cell>
        </row>
        <row r="34">
          <cell r="G34">
            <v>374.9710226574939</v>
          </cell>
        </row>
        <row r="35">
          <cell r="G35">
            <v>1319.0260226574937</v>
          </cell>
        </row>
        <row r="37">
          <cell r="G37">
            <v>-1606.1926893241605</v>
          </cell>
        </row>
        <row r="41">
          <cell r="G41">
            <v>-0.2420910919469017</v>
          </cell>
        </row>
        <row r="42">
          <cell r="C42">
            <v>3446</v>
          </cell>
          <cell r="G42">
            <v>-0.18557412176831406</v>
          </cell>
        </row>
        <row r="43">
          <cell r="G43">
            <v>-1.0348348348348349E-2</v>
          </cell>
        </row>
        <row r="44">
          <cell r="C44">
            <v>-3446</v>
          </cell>
        </row>
        <row r="45">
          <cell r="G45">
            <v>-0.21771114574987738</v>
          </cell>
        </row>
        <row r="48">
          <cell r="AA48">
            <v>0</v>
          </cell>
        </row>
        <row r="72">
          <cell r="G72">
            <v>79615.949999999983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41066</v>
          </cell>
        </row>
        <row r="7">
          <cell r="E7">
            <v>2000</v>
          </cell>
          <cell r="G7">
            <v>728</v>
          </cell>
          <cell r="O7">
            <v>0</v>
          </cell>
          <cell r="R7">
            <v>728</v>
          </cell>
          <cell r="S7">
            <v>0</v>
          </cell>
        </row>
        <row r="9">
          <cell r="C9">
            <v>1</v>
          </cell>
          <cell r="E9">
            <v>1</v>
          </cell>
          <cell r="G9">
            <v>1</v>
          </cell>
        </row>
        <row r="10">
          <cell r="C10">
            <v>0</v>
          </cell>
          <cell r="E10">
            <v>0</v>
          </cell>
          <cell r="G10">
            <v>0</v>
          </cell>
        </row>
        <row r="20">
          <cell r="G20">
            <v>45528</v>
          </cell>
          <cell r="P20">
            <v>45801</v>
          </cell>
        </row>
        <row r="21">
          <cell r="G21">
            <v>295000</v>
          </cell>
          <cell r="P21" t="str">
            <v>RealProtect</v>
          </cell>
        </row>
        <row r="22">
          <cell r="C22">
            <v>24000</v>
          </cell>
        </row>
        <row r="24">
          <cell r="P24" t="str">
            <v>1M each / 2M total</v>
          </cell>
        </row>
        <row r="25">
          <cell r="P25">
            <v>0</v>
          </cell>
        </row>
        <row r="26">
          <cell r="G26">
            <v>60000</v>
          </cell>
          <cell r="P26">
            <v>0</v>
          </cell>
        </row>
        <row r="27">
          <cell r="G27">
            <v>206500</v>
          </cell>
          <cell r="P27">
            <v>45360</v>
          </cell>
        </row>
        <row r="28">
          <cell r="C28">
            <v>1440</v>
          </cell>
          <cell r="P28" t="str">
            <v>Actual cash value</v>
          </cell>
        </row>
        <row r="29">
          <cell r="P29">
            <v>62.307692307692307</v>
          </cell>
        </row>
        <row r="30">
          <cell r="P30">
            <v>10000</v>
          </cell>
        </row>
        <row r="33">
          <cell r="G33">
            <v>1269.1145833333333</v>
          </cell>
          <cell r="H33">
            <v>7.3749999999999996E-2</v>
          </cell>
        </row>
        <row r="34">
          <cell r="G34">
            <v>0</v>
          </cell>
          <cell r="P34">
            <v>10000</v>
          </cell>
        </row>
        <row r="35">
          <cell r="G35">
            <v>1269.1145833333333</v>
          </cell>
          <cell r="P35">
            <v>0.22045855379188711</v>
          </cell>
        </row>
        <row r="36">
          <cell r="P36">
            <v>1340.85</v>
          </cell>
        </row>
        <row r="37">
          <cell r="G37">
            <v>208.52041666666673</v>
          </cell>
        </row>
        <row r="41">
          <cell r="G41" t="e">
            <v>#DIV/0!</v>
          </cell>
        </row>
        <row r="42">
          <cell r="C42">
            <v>6268.38</v>
          </cell>
          <cell r="G42" t="e">
            <v>#DIV/0!</v>
          </cell>
        </row>
        <row r="43">
          <cell r="G43">
            <v>0.29552699999999998</v>
          </cell>
        </row>
        <row r="44">
          <cell r="C44">
            <v>17731.62</v>
          </cell>
        </row>
        <row r="45">
          <cell r="G45">
            <v>1.1643038535724546</v>
          </cell>
        </row>
        <row r="47">
          <cell r="P47">
            <v>0</v>
          </cell>
        </row>
        <row r="48">
          <cell r="P48">
            <v>0</v>
          </cell>
          <cell r="AA48">
            <v>20000</v>
          </cell>
        </row>
        <row r="72">
          <cell r="G72">
            <v>-131102.5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41348</v>
          </cell>
        </row>
        <row r="7">
          <cell r="E7">
            <v>2000</v>
          </cell>
          <cell r="G7">
            <v>728</v>
          </cell>
          <cell r="O7">
            <v>0</v>
          </cell>
          <cell r="R7">
            <v>728</v>
          </cell>
          <cell r="S7">
            <v>0</v>
          </cell>
        </row>
        <row r="9">
          <cell r="C9">
            <v>1</v>
          </cell>
          <cell r="E9">
            <v>1</v>
          </cell>
          <cell r="G9">
            <v>1</v>
          </cell>
        </row>
        <row r="10">
          <cell r="C10">
            <v>0</v>
          </cell>
          <cell r="E10">
            <v>0</v>
          </cell>
          <cell r="G10">
            <v>0</v>
          </cell>
        </row>
        <row r="20">
          <cell r="G20">
            <v>45541</v>
          </cell>
          <cell r="P20">
            <v>45801</v>
          </cell>
        </row>
        <row r="21">
          <cell r="G21">
            <v>295000</v>
          </cell>
          <cell r="P21" t="str">
            <v>RealProtect</v>
          </cell>
        </row>
        <row r="22">
          <cell r="C22">
            <v>24000</v>
          </cell>
        </row>
        <row r="24">
          <cell r="P24" t="str">
            <v>1M each / 2M total</v>
          </cell>
        </row>
        <row r="25">
          <cell r="P25">
            <v>0</v>
          </cell>
        </row>
        <row r="26">
          <cell r="G26">
            <v>60000</v>
          </cell>
          <cell r="P26">
            <v>0</v>
          </cell>
        </row>
        <row r="27">
          <cell r="G27">
            <v>206500</v>
          </cell>
          <cell r="P27">
            <v>45360</v>
          </cell>
        </row>
        <row r="28">
          <cell r="C28">
            <v>1440</v>
          </cell>
          <cell r="P28" t="str">
            <v>Actual cash value</v>
          </cell>
        </row>
        <row r="29">
          <cell r="P29">
            <v>62.307692307692307</v>
          </cell>
        </row>
        <row r="30">
          <cell r="P30">
            <v>10000</v>
          </cell>
        </row>
        <row r="33">
          <cell r="G33">
            <v>1269.1145833333333</v>
          </cell>
          <cell r="H33">
            <v>7.3749999999999996E-2</v>
          </cell>
        </row>
        <row r="34">
          <cell r="G34">
            <v>0</v>
          </cell>
          <cell r="P34">
            <v>10000</v>
          </cell>
        </row>
        <row r="35">
          <cell r="G35">
            <v>1269.1145833333333</v>
          </cell>
          <cell r="P35">
            <v>0.22045855379188711</v>
          </cell>
        </row>
        <row r="36">
          <cell r="P36">
            <v>1340.85</v>
          </cell>
        </row>
        <row r="37">
          <cell r="G37">
            <v>198.76874999999995</v>
          </cell>
        </row>
        <row r="41">
          <cell r="G41" t="e">
            <v>#DIV/0!</v>
          </cell>
        </row>
        <row r="42">
          <cell r="C42">
            <v>6385.4</v>
          </cell>
          <cell r="G42" t="e">
            <v>#DIV/0!</v>
          </cell>
        </row>
        <row r="43">
          <cell r="G43">
            <v>0.29357666666666665</v>
          </cell>
        </row>
        <row r="44">
          <cell r="C44">
            <v>17614.599999999999</v>
          </cell>
        </row>
        <row r="45">
          <cell r="G45">
            <v>1.1566200188779907</v>
          </cell>
        </row>
        <row r="47">
          <cell r="P47">
            <v>0</v>
          </cell>
        </row>
        <row r="48">
          <cell r="P48">
            <v>0</v>
          </cell>
          <cell r="AA48">
            <v>20000</v>
          </cell>
        </row>
        <row r="72">
          <cell r="G72">
            <v>-131102.5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40672</v>
          </cell>
        </row>
        <row r="7">
          <cell r="E7">
            <v>1800</v>
          </cell>
          <cell r="G7">
            <v>728</v>
          </cell>
          <cell r="O7">
            <v>0</v>
          </cell>
          <cell r="R7">
            <v>728</v>
          </cell>
          <cell r="S7">
            <v>0</v>
          </cell>
        </row>
        <row r="9">
          <cell r="C9">
            <v>1</v>
          </cell>
          <cell r="E9">
            <v>1</v>
          </cell>
          <cell r="G9">
            <v>1</v>
          </cell>
        </row>
        <row r="10">
          <cell r="C10">
            <v>0</v>
          </cell>
          <cell r="E10">
            <v>0</v>
          </cell>
          <cell r="G10">
            <v>0</v>
          </cell>
        </row>
        <row r="20">
          <cell r="G20">
            <v>45542</v>
          </cell>
          <cell r="P20">
            <v>45801</v>
          </cell>
        </row>
        <row r="21">
          <cell r="G21">
            <v>270000</v>
          </cell>
          <cell r="P21" t="str">
            <v>RealProtect</v>
          </cell>
        </row>
        <row r="22">
          <cell r="C22">
            <v>21600</v>
          </cell>
        </row>
        <row r="24">
          <cell r="P24" t="str">
            <v>1M each / 2M total</v>
          </cell>
        </row>
        <row r="25">
          <cell r="P25">
            <v>0</v>
          </cell>
        </row>
        <row r="26">
          <cell r="G26">
            <v>60000</v>
          </cell>
          <cell r="P26">
            <v>0</v>
          </cell>
        </row>
        <row r="27">
          <cell r="G27">
            <v>189000</v>
          </cell>
          <cell r="P27">
            <v>38280</v>
          </cell>
        </row>
        <row r="28">
          <cell r="C28">
            <v>1080</v>
          </cell>
          <cell r="P28" t="str">
            <v>Actual cash value</v>
          </cell>
        </row>
        <row r="29">
          <cell r="P29">
            <v>52.582417582417584</v>
          </cell>
        </row>
        <row r="30">
          <cell r="P30">
            <v>10000</v>
          </cell>
        </row>
        <row r="33">
          <cell r="G33">
            <v>1161.5625</v>
          </cell>
          <cell r="H33">
            <v>7.3749999999999996E-2</v>
          </cell>
        </row>
        <row r="34">
          <cell r="G34">
            <v>0</v>
          </cell>
          <cell r="P34">
            <v>10000</v>
          </cell>
        </row>
        <row r="35">
          <cell r="G35">
            <v>1161.5625</v>
          </cell>
          <cell r="P35">
            <v>0.2612330198537095</v>
          </cell>
        </row>
        <row r="36">
          <cell r="P36">
            <v>1192.8</v>
          </cell>
        </row>
        <row r="37">
          <cell r="G37">
            <v>171.10833333333335</v>
          </cell>
        </row>
        <row r="39">
          <cell r="P39">
            <v>12000</v>
          </cell>
        </row>
        <row r="41">
          <cell r="G41" t="e">
            <v>#DIV/0!</v>
          </cell>
        </row>
        <row r="42">
          <cell r="C42">
            <v>5607.9500000000007</v>
          </cell>
          <cell r="G42" t="e">
            <v>#DIV/0!</v>
          </cell>
        </row>
        <row r="43">
          <cell r="G43">
            <v>0.26653416666666663</v>
          </cell>
        </row>
        <row r="44">
          <cell r="C44">
            <v>15992.05</v>
          </cell>
        </row>
        <row r="45">
          <cell r="G45">
            <v>1.1473087615460498</v>
          </cell>
        </row>
        <row r="47">
          <cell r="P47">
            <v>0</v>
          </cell>
        </row>
        <row r="48">
          <cell r="P48">
            <v>0</v>
          </cell>
          <cell r="AA48">
            <v>20000</v>
          </cell>
        </row>
        <row r="72">
          <cell r="G72">
            <v>-113865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41911</v>
          </cell>
        </row>
        <row r="8">
          <cell r="E8">
            <v>3600</v>
          </cell>
          <cell r="G8">
            <v>1560</v>
          </cell>
          <cell r="O8">
            <v>0</v>
          </cell>
          <cell r="R8">
            <v>1560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45409</v>
          </cell>
          <cell r="P21">
            <v>45801</v>
          </cell>
        </row>
        <row r="22">
          <cell r="G22">
            <v>255000</v>
          </cell>
          <cell r="P22" t="str">
            <v>RealProtect</v>
          </cell>
        </row>
        <row r="23">
          <cell r="C23">
            <v>43200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43500</v>
          </cell>
          <cell r="P27">
            <v>0</v>
          </cell>
        </row>
        <row r="28">
          <cell r="G28">
            <v>178500.00000000003</v>
          </cell>
          <cell r="P28">
            <v>84240</v>
          </cell>
        </row>
        <row r="29">
          <cell r="C29">
            <v>2592</v>
          </cell>
          <cell r="P29" t="str">
            <v>Actual cash value</v>
          </cell>
        </row>
        <row r="30">
          <cell r="P30">
            <v>54</v>
          </cell>
        </row>
        <row r="31">
          <cell r="P31">
            <v>10000</v>
          </cell>
        </row>
        <row r="34">
          <cell r="G34">
            <v>1115.6250000000002</v>
          </cell>
          <cell r="H34">
            <v>7.4999999999999997E-2</v>
          </cell>
        </row>
        <row r="35">
          <cell r="G35">
            <v>0</v>
          </cell>
          <cell r="P35">
            <v>10000</v>
          </cell>
        </row>
        <row r="36">
          <cell r="G36">
            <v>1115.6250000000002</v>
          </cell>
          <cell r="P36">
            <v>0.11870845204178537</v>
          </cell>
        </row>
        <row r="37">
          <cell r="P37">
            <v>2157.75</v>
          </cell>
        </row>
        <row r="38">
          <cell r="G38">
            <v>1773.9616666666664</v>
          </cell>
        </row>
        <row r="40">
          <cell r="P40">
            <v>12000</v>
          </cell>
        </row>
        <row r="42">
          <cell r="G42" t="e">
            <v>#DIV/0!</v>
          </cell>
        </row>
        <row r="43">
          <cell r="C43">
            <v>8524.9599999999991</v>
          </cell>
          <cell r="G43" t="e">
            <v>#DIV/0!</v>
          </cell>
        </row>
        <row r="44">
          <cell r="G44">
            <v>0.79712735632183906</v>
          </cell>
        </row>
        <row r="45">
          <cell r="C45">
            <v>34675.040000000001</v>
          </cell>
        </row>
        <row r="46">
          <cell r="G46">
            <v>2.5901056956115776</v>
          </cell>
        </row>
        <row r="48">
          <cell r="P48">
            <v>0</v>
          </cell>
        </row>
        <row r="49">
          <cell r="P49">
            <v>0</v>
          </cell>
          <cell r="AA49">
            <v>50000</v>
          </cell>
        </row>
        <row r="73">
          <cell r="G73">
            <v>-120022.50000000003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21">
          <cell r="E21">
            <v>26131</v>
          </cell>
          <cell r="G21">
            <v>106702</v>
          </cell>
          <cell r="O21">
            <v>11600</v>
          </cell>
          <cell r="R21">
            <v>65139</v>
          </cell>
          <cell r="S21">
            <v>41563</v>
          </cell>
        </row>
        <row r="23">
          <cell r="C23">
            <v>15</v>
          </cell>
          <cell r="E23">
            <v>0.61047590485651626</v>
          </cell>
          <cell r="G23">
            <v>0.8</v>
          </cell>
        </row>
        <row r="24">
          <cell r="C24">
            <v>3</v>
          </cell>
          <cell r="E24">
            <v>0.38952409514348374</v>
          </cell>
          <cell r="G24">
            <v>0.2</v>
          </cell>
        </row>
        <row r="34">
          <cell r="G34">
            <v>44652</v>
          </cell>
          <cell r="P34">
            <v>45685</v>
          </cell>
        </row>
        <row r="35">
          <cell r="G35">
            <v>3400000</v>
          </cell>
          <cell r="P35" t="str">
            <v>Matthew</v>
          </cell>
        </row>
        <row r="36">
          <cell r="C36">
            <v>313572</v>
          </cell>
        </row>
        <row r="38">
          <cell r="P38" t="str">
            <v>1M each / 2M total</v>
          </cell>
        </row>
        <row r="39">
          <cell r="P39">
            <v>0</v>
          </cell>
        </row>
        <row r="40">
          <cell r="G40">
            <v>3300000</v>
          </cell>
          <cell r="P40">
            <v>0</v>
          </cell>
        </row>
        <row r="41">
          <cell r="G41">
            <v>2640000</v>
          </cell>
          <cell r="P41">
            <v>9018000</v>
          </cell>
        </row>
        <row r="42">
          <cell r="C42">
            <v>18814.32</v>
          </cell>
          <cell r="P42" t="str">
            <v>replacement cost</v>
          </cell>
        </row>
        <row r="43">
          <cell r="P43">
            <v>84.515754156435676</v>
          </cell>
        </row>
        <row r="44">
          <cell r="P44">
            <v>100000</v>
          </cell>
        </row>
        <row r="45">
          <cell r="P45">
            <v>0</v>
          </cell>
        </row>
        <row r="47">
          <cell r="G47">
            <v>9350.0000000000018</v>
          </cell>
          <cell r="H47">
            <v>4.2500000000000003E-2</v>
          </cell>
        </row>
        <row r="48">
          <cell r="G48">
            <v>6997.7899862099093</v>
          </cell>
          <cell r="P48">
            <v>0</v>
          </cell>
        </row>
        <row r="49">
          <cell r="G49">
            <v>16347.789986209911</v>
          </cell>
          <cell r="P49">
            <v>0</v>
          </cell>
        </row>
        <row r="50">
          <cell r="P50">
            <v>34002</v>
          </cell>
        </row>
        <row r="51">
          <cell r="G51">
            <v>1395.0100137900881</v>
          </cell>
        </row>
        <row r="53">
          <cell r="P53">
            <v>25000</v>
          </cell>
        </row>
        <row r="55">
          <cell r="G55">
            <v>2.4264560321033572E-2</v>
          </cell>
        </row>
        <row r="56">
          <cell r="C56">
            <v>100658.4</v>
          </cell>
          <cell r="G56">
            <v>0.14598289607189446</v>
          </cell>
        </row>
        <row r="57">
          <cell r="G57">
            <v>6.4519272727272731E-2</v>
          </cell>
        </row>
        <row r="58">
          <cell r="C58">
            <v>212913.6</v>
          </cell>
        </row>
        <row r="59">
          <cell r="G59">
            <v>1.0853332477947686</v>
          </cell>
        </row>
        <row r="61">
          <cell r="P61">
            <v>0</v>
          </cell>
        </row>
        <row r="62">
          <cell r="P62">
            <v>0</v>
          </cell>
        </row>
        <row r="86">
          <cell r="G86">
            <v>689899.99999999988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41911</v>
          </cell>
        </row>
        <row r="7">
          <cell r="E7">
            <v>2800</v>
          </cell>
          <cell r="G7">
            <v>1560</v>
          </cell>
          <cell r="O7">
            <v>0</v>
          </cell>
          <cell r="R7">
            <v>1560</v>
          </cell>
          <cell r="S7">
            <v>0</v>
          </cell>
        </row>
        <row r="9">
          <cell r="C9">
            <v>1</v>
          </cell>
          <cell r="E9">
            <v>1</v>
          </cell>
          <cell r="G9">
            <v>1</v>
          </cell>
        </row>
        <row r="10">
          <cell r="C10">
            <v>0</v>
          </cell>
          <cell r="E10">
            <v>0</v>
          </cell>
          <cell r="G10">
            <v>0</v>
          </cell>
        </row>
        <row r="20">
          <cell r="G20">
            <v>45409</v>
          </cell>
          <cell r="P20">
            <v>45801</v>
          </cell>
        </row>
        <row r="21">
          <cell r="G21">
            <v>340000</v>
          </cell>
          <cell r="P21" t="str">
            <v>RealProtect</v>
          </cell>
        </row>
        <row r="22">
          <cell r="C22">
            <v>33600</v>
          </cell>
        </row>
        <row r="24">
          <cell r="P24" t="str">
            <v>1M each / 2M total</v>
          </cell>
        </row>
        <row r="25">
          <cell r="P25">
            <v>0</v>
          </cell>
        </row>
        <row r="26">
          <cell r="G26">
            <v>25000</v>
          </cell>
          <cell r="P26">
            <v>0</v>
          </cell>
        </row>
        <row r="27">
          <cell r="G27">
            <v>238000</v>
          </cell>
          <cell r="P27">
            <v>75960</v>
          </cell>
        </row>
        <row r="28">
          <cell r="C28">
            <v>2016</v>
          </cell>
          <cell r="P28" t="str">
            <v>Actual cash value</v>
          </cell>
        </row>
        <row r="29">
          <cell r="P29">
            <v>48.692307692307693</v>
          </cell>
        </row>
        <row r="30">
          <cell r="P30">
            <v>10000</v>
          </cell>
        </row>
        <row r="33">
          <cell r="G33">
            <v>1487.5</v>
          </cell>
          <cell r="H33">
            <v>7.4999999999999997E-2</v>
          </cell>
        </row>
        <row r="34">
          <cell r="G34">
            <v>0</v>
          </cell>
          <cell r="P34">
            <v>10000</v>
          </cell>
        </row>
        <row r="35">
          <cell r="G35">
            <v>1487.5</v>
          </cell>
          <cell r="P35">
            <v>0.13164823591363875</v>
          </cell>
        </row>
        <row r="36">
          <cell r="P36">
            <v>2185.0500000000002</v>
          </cell>
        </row>
        <row r="37">
          <cell r="G37">
            <v>668.11666666666679</v>
          </cell>
        </row>
        <row r="39">
          <cell r="P39">
            <v>21600</v>
          </cell>
        </row>
        <row r="41">
          <cell r="G41" t="e">
            <v>#DIV/0!</v>
          </cell>
        </row>
        <row r="42">
          <cell r="C42">
            <v>7732.6</v>
          </cell>
          <cell r="G42" t="e">
            <v>#DIV/0!</v>
          </cell>
        </row>
        <row r="43">
          <cell r="G43">
            <v>1.0346960000000001</v>
          </cell>
        </row>
        <row r="44">
          <cell r="C44">
            <v>25867.4</v>
          </cell>
        </row>
        <row r="45">
          <cell r="G45">
            <v>1.4491540616246499</v>
          </cell>
        </row>
        <row r="47">
          <cell r="P47">
            <v>0</v>
          </cell>
        </row>
        <row r="48">
          <cell r="P48">
            <v>0</v>
          </cell>
          <cell r="AA48">
            <v>40000</v>
          </cell>
        </row>
        <row r="72">
          <cell r="G72">
            <v>-197130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42146</v>
          </cell>
        </row>
        <row r="8">
          <cell r="E8">
            <v>3600</v>
          </cell>
          <cell r="G8">
            <v>1860</v>
          </cell>
          <cell r="O8">
            <v>0</v>
          </cell>
          <cell r="R8">
            <v>1860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 t="str">
            <v>04/31/2024</v>
          </cell>
          <cell r="P21">
            <v>45801</v>
          </cell>
        </row>
        <row r="22">
          <cell r="G22">
            <v>435000</v>
          </cell>
          <cell r="P22" t="str">
            <v>RealProtect</v>
          </cell>
        </row>
        <row r="23">
          <cell r="C23">
            <v>43200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61000</v>
          </cell>
          <cell r="P27">
            <v>0</v>
          </cell>
        </row>
        <row r="28">
          <cell r="G28">
            <v>304500</v>
          </cell>
          <cell r="P28">
            <v>109800</v>
          </cell>
        </row>
        <row r="29">
          <cell r="C29">
            <v>2592</v>
          </cell>
          <cell r="P29" t="str">
            <v>Actual cash value</v>
          </cell>
        </row>
        <row r="30">
          <cell r="P30">
            <v>59.032258064516128</v>
          </cell>
        </row>
        <row r="31">
          <cell r="P31">
            <v>10000</v>
          </cell>
        </row>
        <row r="34">
          <cell r="G34">
            <v>1903.125</v>
          </cell>
          <cell r="H34">
            <v>7.4999999999999997E-2</v>
          </cell>
        </row>
        <row r="35">
          <cell r="G35">
            <v>0</v>
          </cell>
          <cell r="P35">
            <v>10000</v>
          </cell>
        </row>
        <row r="36">
          <cell r="G36">
            <v>1903.125</v>
          </cell>
          <cell r="P36">
            <v>9.107468123861566E-2</v>
          </cell>
        </row>
        <row r="38">
          <cell r="G38">
            <v>791.17250000000013</v>
          </cell>
        </row>
        <row r="40">
          <cell r="P40">
            <v>13200</v>
          </cell>
        </row>
        <row r="42">
          <cell r="G42" t="e">
            <v>#DIV/0!</v>
          </cell>
        </row>
        <row r="43">
          <cell r="C43">
            <v>10868.43</v>
          </cell>
          <cell r="G43" t="e">
            <v>#DIV/0!</v>
          </cell>
        </row>
        <row r="44">
          <cell r="G44">
            <v>0.53002573770491801</v>
          </cell>
        </row>
        <row r="45">
          <cell r="C45">
            <v>32331.57</v>
          </cell>
        </row>
        <row r="46">
          <cell r="G46">
            <v>1.4157228243021347</v>
          </cell>
        </row>
        <row r="48">
          <cell r="P48">
            <v>0</v>
          </cell>
        </row>
        <row r="49">
          <cell r="P49">
            <v>0</v>
          </cell>
          <cell r="AA49">
            <v>50000</v>
          </cell>
        </row>
        <row r="73">
          <cell r="G73">
            <v>-226632.5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42865</v>
          </cell>
        </row>
        <row r="6">
          <cell r="G6">
            <v>1104</v>
          </cell>
        </row>
        <row r="7">
          <cell r="E7">
            <v>2200</v>
          </cell>
          <cell r="O7">
            <v>0</v>
          </cell>
          <cell r="R7">
            <v>1104</v>
          </cell>
          <cell r="S7">
            <v>0</v>
          </cell>
        </row>
        <row r="9">
          <cell r="C9">
            <v>1</v>
          </cell>
          <cell r="E9">
            <v>1</v>
          </cell>
          <cell r="G9">
            <v>1</v>
          </cell>
        </row>
        <row r="10">
          <cell r="C10">
            <v>0</v>
          </cell>
          <cell r="E10">
            <v>0</v>
          </cell>
          <cell r="G10">
            <v>0</v>
          </cell>
        </row>
        <row r="20">
          <cell r="G20">
            <v>45409</v>
          </cell>
          <cell r="P20">
            <v>45801</v>
          </cell>
        </row>
        <row r="21">
          <cell r="G21">
            <v>300000</v>
          </cell>
          <cell r="P21" t="str">
            <v>RealProtect</v>
          </cell>
        </row>
        <row r="22">
          <cell r="C22">
            <v>26400</v>
          </cell>
        </row>
        <row r="24">
          <cell r="P24" t="str">
            <v>1M each / 2M total</v>
          </cell>
        </row>
        <row r="25">
          <cell r="P25">
            <v>0</v>
          </cell>
        </row>
        <row r="26">
          <cell r="G26">
            <v>149000</v>
          </cell>
          <cell r="P26">
            <v>0</v>
          </cell>
        </row>
        <row r="27">
          <cell r="G27">
            <v>210000</v>
          </cell>
          <cell r="P27">
            <v>61920</v>
          </cell>
        </row>
        <row r="28">
          <cell r="C28">
            <v>1584</v>
          </cell>
          <cell r="P28" t="str">
            <v>Actual cash value</v>
          </cell>
        </row>
        <row r="29">
          <cell r="P29">
            <v>56.086956521739133</v>
          </cell>
        </row>
        <row r="30">
          <cell r="P30">
            <v>10000</v>
          </cell>
        </row>
        <row r="33">
          <cell r="G33">
            <v>1312.5</v>
          </cell>
          <cell r="H33">
            <v>7.4999999999999997E-2</v>
          </cell>
        </row>
        <row r="34">
          <cell r="G34">
            <v>0</v>
          </cell>
          <cell r="P34">
            <v>10000</v>
          </cell>
        </row>
        <row r="35">
          <cell r="G35">
            <v>1312.5</v>
          </cell>
          <cell r="P35">
            <v>0.16149870801033592</v>
          </cell>
        </row>
        <row r="36">
          <cell r="P36">
            <v>2091.6</v>
          </cell>
        </row>
        <row r="37">
          <cell r="G37">
            <v>171.92583333333346</v>
          </cell>
        </row>
        <row r="39">
          <cell r="P39">
            <v>31200</v>
          </cell>
        </row>
        <row r="41">
          <cell r="G41" t="str">
            <v>N/A</v>
          </cell>
        </row>
        <row r="42">
          <cell r="C42">
            <v>8586.89</v>
          </cell>
          <cell r="G42" t="str">
            <v>N/A</v>
          </cell>
        </row>
        <row r="43">
          <cell r="G43">
            <v>0.11955107382550335</v>
          </cell>
        </row>
        <row r="44">
          <cell r="C44">
            <v>17813.11</v>
          </cell>
        </row>
        <row r="45">
          <cell r="G45">
            <v>1.1309911111111113</v>
          </cell>
        </row>
        <row r="46">
          <cell r="P46">
            <v>0</v>
          </cell>
        </row>
        <row r="48">
          <cell r="P48">
            <v>0</v>
          </cell>
          <cell r="AA48">
            <v>5000</v>
          </cell>
        </row>
        <row r="72">
          <cell r="G72">
            <v>-47749.999999999993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41722</v>
          </cell>
        </row>
        <row r="8">
          <cell r="E8">
            <v>2800</v>
          </cell>
          <cell r="G8">
            <v>1660</v>
          </cell>
          <cell r="O8">
            <v>0</v>
          </cell>
          <cell r="R8">
            <v>1660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45409</v>
          </cell>
          <cell r="P21">
            <v>45801</v>
          </cell>
        </row>
        <row r="22">
          <cell r="G22">
            <v>255000</v>
          </cell>
          <cell r="P22" t="str">
            <v>RealProtect</v>
          </cell>
        </row>
        <row r="23">
          <cell r="C23">
            <v>33600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30000</v>
          </cell>
          <cell r="P27">
            <v>0</v>
          </cell>
        </row>
        <row r="28">
          <cell r="G28">
            <v>178500</v>
          </cell>
          <cell r="P28">
            <v>73440</v>
          </cell>
        </row>
        <row r="29">
          <cell r="C29">
            <v>2016</v>
          </cell>
          <cell r="P29" t="str">
            <v>Actual cash value</v>
          </cell>
        </row>
        <row r="30">
          <cell r="P30">
            <v>44.24096385542169</v>
          </cell>
        </row>
        <row r="31">
          <cell r="P31">
            <v>10000</v>
          </cell>
        </row>
        <row r="34">
          <cell r="G34">
            <v>1115.625</v>
          </cell>
          <cell r="H34">
            <v>7.4999999999999997E-2</v>
          </cell>
        </row>
        <row r="35">
          <cell r="G35">
            <v>0</v>
          </cell>
          <cell r="P35">
            <v>10000</v>
          </cell>
        </row>
        <row r="36">
          <cell r="G36">
            <v>1115.625</v>
          </cell>
          <cell r="P36">
            <v>0.13616557734204793</v>
          </cell>
        </row>
        <row r="37">
          <cell r="P37">
            <v>1930.95</v>
          </cell>
        </row>
        <row r="38">
          <cell r="G38">
            <v>904.08833333333337</v>
          </cell>
        </row>
        <row r="40">
          <cell r="P40">
            <v>12000</v>
          </cell>
        </row>
        <row r="42">
          <cell r="G42" t="e">
            <v>#DIV/0!</v>
          </cell>
        </row>
        <row r="43">
          <cell r="C43">
            <v>9363.4399999999987</v>
          </cell>
          <cell r="G43" t="e">
            <v>#DIV/0!</v>
          </cell>
        </row>
        <row r="44">
          <cell r="G44">
            <v>0.80788533333333334</v>
          </cell>
        </row>
        <row r="45">
          <cell r="C45">
            <v>24236.560000000001</v>
          </cell>
        </row>
        <row r="46">
          <cell r="G46">
            <v>1.8103873015873015</v>
          </cell>
        </row>
        <row r="48">
          <cell r="P48">
            <v>0</v>
          </cell>
        </row>
        <row r="49">
          <cell r="P49">
            <v>0</v>
          </cell>
          <cell r="AA49">
            <v>60000</v>
          </cell>
        </row>
        <row r="73">
          <cell r="G73">
            <v>-133522.5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42003</v>
          </cell>
        </row>
        <row r="8">
          <cell r="E8">
            <v>3400</v>
          </cell>
          <cell r="G8">
            <v>1296</v>
          </cell>
          <cell r="O8">
            <v>0</v>
          </cell>
          <cell r="R8">
            <v>1296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44486</v>
          </cell>
          <cell r="P21">
            <v>45801</v>
          </cell>
        </row>
        <row r="22">
          <cell r="G22">
            <v>238000</v>
          </cell>
          <cell r="P22" t="str">
            <v>RealProtect</v>
          </cell>
        </row>
        <row r="23">
          <cell r="C23">
            <v>40800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35000</v>
          </cell>
          <cell r="P27">
            <v>0</v>
          </cell>
        </row>
        <row r="28">
          <cell r="G28">
            <v>139444.19999999998</v>
          </cell>
          <cell r="P28">
            <v>77760</v>
          </cell>
        </row>
        <row r="29">
          <cell r="C29">
            <v>2448</v>
          </cell>
          <cell r="P29" t="str">
            <v>Actual cash value</v>
          </cell>
        </row>
        <row r="30">
          <cell r="P30">
            <v>60</v>
          </cell>
        </row>
        <row r="31">
          <cell r="P31">
            <v>10000</v>
          </cell>
        </row>
        <row r="34">
          <cell r="G34">
            <v>453.19364999999993</v>
          </cell>
          <cell r="H34">
            <v>3.9E-2</v>
          </cell>
        </row>
        <row r="35">
          <cell r="G35">
            <v>204.52030413782234</v>
          </cell>
          <cell r="P35">
            <v>10000</v>
          </cell>
        </row>
        <row r="36">
          <cell r="G36">
            <v>657.71395413782227</v>
          </cell>
          <cell r="P36">
            <v>0.12860082304526749</v>
          </cell>
        </row>
        <row r="37">
          <cell r="P37">
            <v>1769.25</v>
          </cell>
        </row>
        <row r="38">
          <cell r="G38">
            <v>2070.9993791955108</v>
          </cell>
        </row>
        <row r="42">
          <cell r="G42" t="e">
            <v>#DIV/0!</v>
          </cell>
        </row>
        <row r="43">
          <cell r="C43">
            <v>8055.4400000000005</v>
          </cell>
          <cell r="G43" t="e">
            <v>#DIV/0!</v>
          </cell>
        </row>
        <row r="44">
          <cell r="G44">
            <v>0.93555885714285703</v>
          </cell>
        </row>
        <row r="45">
          <cell r="C45">
            <v>32744.559999999998</v>
          </cell>
        </row>
        <row r="46">
          <cell r="G46">
            <v>4.1487843099061541</v>
          </cell>
        </row>
        <row r="48">
          <cell r="P48">
            <v>0</v>
          </cell>
        </row>
        <row r="49">
          <cell r="P49">
            <v>0</v>
          </cell>
          <cell r="AA49">
            <v>50000</v>
          </cell>
        </row>
        <row r="73">
          <cell r="G73">
            <v>-90052.536999999982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42930</v>
          </cell>
        </row>
        <row r="8">
          <cell r="E8">
            <v>2800</v>
          </cell>
          <cell r="G8">
            <v>1050</v>
          </cell>
          <cell r="O8">
            <v>0</v>
          </cell>
          <cell r="R8">
            <v>1050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44486</v>
          </cell>
          <cell r="P21">
            <v>45801</v>
          </cell>
        </row>
        <row r="22">
          <cell r="G22">
            <v>235000</v>
          </cell>
          <cell r="P22" t="str">
            <v>RealProtect</v>
          </cell>
        </row>
        <row r="23">
          <cell r="C23">
            <v>33600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67000</v>
          </cell>
          <cell r="P27">
            <v>0</v>
          </cell>
        </row>
        <row r="28">
          <cell r="G28">
            <v>137680.57999999999</v>
          </cell>
          <cell r="P28">
            <v>95820</v>
          </cell>
        </row>
        <row r="29">
          <cell r="C29">
            <v>2016</v>
          </cell>
          <cell r="P29" t="str">
            <v>Actual cash value</v>
          </cell>
        </row>
        <row r="30">
          <cell r="P30">
            <v>91.257142857142853</v>
          </cell>
        </row>
        <row r="31">
          <cell r="P31">
            <v>10000</v>
          </cell>
        </row>
        <row r="34">
          <cell r="G34">
            <v>447.46188499999994</v>
          </cell>
          <cell r="H34">
            <v>3.9E-2</v>
          </cell>
        </row>
        <row r="35">
          <cell r="G35">
            <v>201.93363435318054</v>
          </cell>
          <cell r="P35">
            <v>10000</v>
          </cell>
        </row>
        <row r="36">
          <cell r="G36">
            <v>649.39551935318048</v>
          </cell>
          <cell r="P36">
            <v>0.10436234606553955</v>
          </cell>
        </row>
        <row r="37">
          <cell r="P37">
            <v>2148.3000000000002</v>
          </cell>
        </row>
        <row r="38">
          <cell r="G38">
            <v>1247.4544806468198</v>
          </cell>
        </row>
        <row r="42">
          <cell r="G42" t="e">
            <v>#DIV/0!</v>
          </cell>
        </row>
        <row r="43">
          <cell r="C43">
            <v>10837.8</v>
          </cell>
          <cell r="G43" t="e">
            <v>#DIV/0!</v>
          </cell>
        </row>
        <row r="44">
          <cell r="G44">
            <v>0.33973432835820899</v>
          </cell>
        </row>
        <row r="45">
          <cell r="C45">
            <v>22762.2</v>
          </cell>
        </row>
        <row r="46">
          <cell r="G46">
            <v>2.9209471631238322</v>
          </cell>
        </row>
        <row r="48">
          <cell r="P48">
            <v>0</v>
          </cell>
        </row>
        <row r="49">
          <cell r="P49">
            <v>0</v>
          </cell>
          <cell r="AA49">
            <v>60000</v>
          </cell>
        </row>
        <row r="73">
          <cell r="G73">
            <v>-56315.371299999984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42125</v>
          </cell>
        </row>
        <row r="8">
          <cell r="E8">
            <v>3400</v>
          </cell>
          <cell r="G8">
            <v>1589</v>
          </cell>
          <cell r="O8">
            <v>0</v>
          </cell>
          <cell r="R8">
            <v>1589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44486</v>
          </cell>
          <cell r="P21">
            <v>45801</v>
          </cell>
        </row>
        <row r="22">
          <cell r="G22">
            <v>242000</v>
          </cell>
          <cell r="P22" t="str">
            <v>RealProtect</v>
          </cell>
        </row>
        <row r="23">
          <cell r="C23">
            <v>40800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80000</v>
          </cell>
          <cell r="P27">
            <v>0</v>
          </cell>
        </row>
        <row r="28">
          <cell r="G28">
            <v>141781.70000000001</v>
          </cell>
          <cell r="P28">
            <v>95340</v>
          </cell>
        </row>
        <row r="29">
          <cell r="C29">
            <v>2040</v>
          </cell>
          <cell r="P29" t="str">
            <v>Actual cash value</v>
          </cell>
        </row>
        <row r="30">
          <cell r="P30">
            <v>60</v>
          </cell>
        </row>
        <row r="31">
          <cell r="P31">
            <v>10000</v>
          </cell>
        </row>
        <row r="34">
          <cell r="G34">
            <v>460.79052500000006</v>
          </cell>
          <cell r="H34">
            <v>3.9E-2</v>
          </cell>
        </row>
        <row r="35">
          <cell r="G35">
            <v>207.94867341329007</v>
          </cell>
          <cell r="P35">
            <v>10000</v>
          </cell>
        </row>
        <row r="36">
          <cell r="G36">
            <v>668.73919841329007</v>
          </cell>
          <cell r="P36">
            <v>0.10488777008600797</v>
          </cell>
        </row>
        <row r="37">
          <cell r="P37">
            <v>2138.85</v>
          </cell>
        </row>
        <row r="38">
          <cell r="G38">
            <v>1857.5908015867099</v>
          </cell>
        </row>
        <row r="42">
          <cell r="G42" t="e">
            <v>#DIV/0!</v>
          </cell>
        </row>
        <row r="43">
          <cell r="C43">
            <v>10484.040000000001</v>
          </cell>
          <cell r="G43" t="e">
            <v>#DIV/0!</v>
          </cell>
        </row>
        <row r="44">
          <cell r="G44">
            <v>0.37894949999999999</v>
          </cell>
        </row>
        <row r="45">
          <cell r="C45">
            <v>30315.96</v>
          </cell>
        </row>
        <row r="46">
          <cell r="G46">
            <v>3.7777507374985562</v>
          </cell>
        </row>
        <row r="48">
          <cell r="P48">
            <v>0</v>
          </cell>
        </row>
        <row r="49">
          <cell r="P49">
            <v>0</v>
          </cell>
          <cell r="AA49">
            <v>60000</v>
          </cell>
        </row>
        <row r="73">
          <cell r="G73">
            <v>-47354.974500000011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43127</v>
          </cell>
        </row>
        <row r="8">
          <cell r="E8">
            <v>3600</v>
          </cell>
          <cell r="O8">
            <v>0</v>
          </cell>
          <cell r="R8">
            <v>1860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44486</v>
          </cell>
          <cell r="P21">
            <v>45801</v>
          </cell>
        </row>
        <row r="22">
          <cell r="G22">
            <v>340000</v>
          </cell>
          <cell r="P22" t="str">
            <v>RealProtect</v>
          </cell>
        </row>
        <row r="23">
          <cell r="C23">
            <v>43200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136000</v>
          </cell>
          <cell r="P27">
            <v>0</v>
          </cell>
        </row>
        <row r="28">
          <cell r="G28">
            <v>199197.44</v>
          </cell>
          <cell r="P28">
            <v>122400</v>
          </cell>
        </row>
        <row r="29">
          <cell r="C29">
            <v>2592</v>
          </cell>
          <cell r="P29" t="str">
            <v>Actual cash value</v>
          </cell>
        </row>
        <row r="30">
          <cell r="P30">
            <v>65.806451612903231</v>
          </cell>
        </row>
        <row r="31">
          <cell r="P31">
            <v>10000</v>
          </cell>
        </row>
        <row r="34">
          <cell r="G34">
            <v>647.39168000000006</v>
          </cell>
          <cell r="H34">
            <v>3.9E-2</v>
          </cell>
        </row>
        <row r="35">
          <cell r="G35">
            <v>292.15930825574401</v>
          </cell>
          <cell r="P35">
            <v>10000</v>
          </cell>
        </row>
        <row r="36">
          <cell r="G36">
            <v>939.55098825574407</v>
          </cell>
          <cell r="P36">
            <v>8.1699346405228759E-2</v>
          </cell>
        </row>
        <row r="37">
          <cell r="P37">
            <v>2706.9</v>
          </cell>
        </row>
        <row r="38">
          <cell r="G38">
            <v>1792.0048450775894</v>
          </cell>
        </row>
        <row r="42">
          <cell r="G42" t="e">
            <v>#DIV/0!</v>
          </cell>
        </row>
        <row r="43">
          <cell r="C43">
            <v>10421.33</v>
          </cell>
          <cell r="G43" t="e">
            <v>#DIV/0!</v>
          </cell>
        </row>
        <row r="44">
          <cell r="G44">
            <v>0.24101963235294116</v>
          </cell>
        </row>
        <row r="45">
          <cell r="C45">
            <v>32778.67</v>
          </cell>
        </row>
        <row r="46">
          <cell r="G46">
            <v>2.9072991966134878</v>
          </cell>
        </row>
        <row r="48">
          <cell r="P48">
            <v>0</v>
          </cell>
        </row>
        <row r="49">
          <cell r="P49">
            <v>0</v>
          </cell>
          <cell r="AA49">
            <v>40000</v>
          </cell>
        </row>
        <row r="73">
          <cell r="G73">
            <v>-47909.4784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42175</v>
          </cell>
        </row>
        <row r="8">
          <cell r="E8">
            <v>3600</v>
          </cell>
          <cell r="G8">
            <v>1860</v>
          </cell>
          <cell r="O8">
            <v>0</v>
          </cell>
          <cell r="R8">
            <v>1860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44486</v>
          </cell>
          <cell r="P21">
            <v>45801</v>
          </cell>
        </row>
        <row r="22">
          <cell r="G22">
            <v>340000</v>
          </cell>
          <cell r="P22" t="str">
            <v>RealProtect</v>
          </cell>
        </row>
        <row r="23">
          <cell r="C23">
            <v>43200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33000</v>
          </cell>
          <cell r="P27">
            <v>0</v>
          </cell>
        </row>
        <row r="28">
          <cell r="G28">
            <v>199197.44</v>
          </cell>
          <cell r="P28">
            <v>117600</v>
          </cell>
        </row>
        <row r="29">
          <cell r="C29">
            <v>2592</v>
          </cell>
          <cell r="P29" t="str">
            <v>Actual cash value</v>
          </cell>
        </row>
        <row r="30">
          <cell r="P30">
            <v>63.225806451612904</v>
          </cell>
        </row>
        <row r="31">
          <cell r="P31">
            <v>10000</v>
          </cell>
        </row>
        <row r="34">
          <cell r="G34">
            <v>647.39168000000006</v>
          </cell>
          <cell r="H34">
            <v>3.9E-2</v>
          </cell>
        </row>
        <row r="35">
          <cell r="G35">
            <v>292.15930825574401</v>
          </cell>
          <cell r="P35">
            <v>10000</v>
          </cell>
        </row>
        <row r="36">
          <cell r="G36">
            <v>939.55098825574407</v>
          </cell>
          <cell r="P36">
            <v>8.5034013605442174E-2</v>
          </cell>
        </row>
        <row r="37">
          <cell r="P37">
            <v>2606.1</v>
          </cell>
        </row>
        <row r="38">
          <cell r="G38">
            <v>1921.6056784109223</v>
          </cell>
        </row>
        <row r="42">
          <cell r="G42" t="e">
            <v>#DIV/0!</v>
          </cell>
        </row>
        <row r="43">
          <cell r="C43">
            <v>8866.1200000000008</v>
          </cell>
          <cell r="G43" t="e">
            <v>#DIV/0!</v>
          </cell>
        </row>
        <row r="44">
          <cell r="G44">
            <v>1.040420606060606</v>
          </cell>
        </row>
        <row r="45">
          <cell r="C45">
            <v>34333.879999999997</v>
          </cell>
        </row>
        <row r="46">
          <cell r="G46">
            <v>3.0452383132269825</v>
          </cell>
        </row>
        <row r="48">
          <cell r="P48">
            <v>0</v>
          </cell>
        </row>
        <row r="49">
          <cell r="P49">
            <v>0</v>
          </cell>
          <cell r="AA49">
            <v>60000</v>
          </cell>
        </row>
        <row r="73">
          <cell r="G73">
            <v>-150909.47839999999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43172</v>
          </cell>
        </row>
        <row r="8">
          <cell r="E8">
            <v>3600</v>
          </cell>
          <cell r="G8">
            <v>1860</v>
          </cell>
          <cell r="R8">
            <v>1860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44486</v>
          </cell>
          <cell r="P21">
            <v>45801</v>
          </cell>
        </row>
        <row r="22">
          <cell r="G22">
            <v>340000</v>
          </cell>
          <cell r="P22" t="str">
            <v>RealProtect</v>
          </cell>
        </row>
        <row r="23">
          <cell r="C23">
            <v>43200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75000</v>
          </cell>
          <cell r="P27">
            <v>0</v>
          </cell>
        </row>
        <row r="28">
          <cell r="G28">
            <v>199197.44</v>
          </cell>
          <cell r="P28">
            <v>122400</v>
          </cell>
        </row>
        <row r="29">
          <cell r="C29">
            <v>2592</v>
          </cell>
          <cell r="P29" t="str">
            <v>Actual cash value</v>
          </cell>
        </row>
        <row r="30">
          <cell r="P30">
            <v>65.806451612903231</v>
          </cell>
        </row>
        <row r="31">
          <cell r="P31">
            <v>10000</v>
          </cell>
        </row>
        <row r="34">
          <cell r="G34">
            <v>647.39168000000006</v>
          </cell>
          <cell r="H34">
            <v>3.9E-2</v>
          </cell>
        </row>
        <row r="35">
          <cell r="G35">
            <v>292.15930825574401</v>
          </cell>
          <cell r="P35">
            <v>10000</v>
          </cell>
        </row>
        <row r="36">
          <cell r="G36">
            <v>939.55098825574407</v>
          </cell>
          <cell r="P36">
            <v>8.1699346405228759E-2</v>
          </cell>
        </row>
        <row r="37">
          <cell r="P37">
            <v>2706.9</v>
          </cell>
        </row>
        <row r="38">
          <cell r="G38">
            <v>1750.3681784109226</v>
          </cell>
        </row>
        <row r="42">
          <cell r="G42" t="e">
            <v>#DIV/0!</v>
          </cell>
        </row>
        <row r="43">
          <cell r="C43">
            <v>10920.97</v>
          </cell>
          <cell r="G43" t="e">
            <v>#DIV/0!</v>
          </cell>
        </row>
        <row r="44">
          <cell r="G44">
            <v>0.43038706666666665</v>
          </cell>
        </row>
        <row r="45">
          <cell r="C45">
            <v>32279.03</v>
          </cell>
        </row>
        <row r="46">
          <cell r="G46">
            <v>2.8629837020984277</v>
          </cell>
        </row>
        <row r="48">
          <cell r="P48">
            <v>0</v>
          </cell>
        </row>
        <row r="49">
          <cell r="P49">
            <v>0</v>
          </cell>
          <cell r="AA49">
            <v>60000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7">
          <cell r="E37">
            <v>35300.46</v>
          </cell>
          <cell r="G37">
            <v>52042</v>
          </cell>
          <cell r="O37">
            <v>15500</v>
          </cell>
          <cell r="R37">
            <v>35760</v>
          </cell>
          <cell r="S37">
            <v>16282</v>
          </cell>
        </row>
        <row r="39">
          <cell r="C39">
            <v>30</v>
          </cell>
          <cell r="E39">
            <v>0.68713731217093887</v>
          </cell>
          <cell r="G39">
            <v>0.6</v>
          </cell>
        </row>
        <row r="40">
          <cell r="C40">
            <v>12</v>
          </cell>
          <cell r="E40">
            <v>0.31286268782906113</v>
          </cell>
          <cell r="G40">
            <v>0.4</v>
          </cell>
        </row>
        <row r="50">
          <cell r="G50">
            <v>44774</v>
          </cell>
          <cell r="P50">
            <v>45375</v>
          </cell>
        </row>
        <row r="51">
          <cell r="P51" t="str">
            <v>Micah Mattox</v>
          </cell>
        </row>
        <row r="52">
          <cell r="C52">
            <v>423605.52</v>
          </cell>
        </row>
        <row r="54">
          <cell r="P54" t="str">
            <v>1M each / 2M total</v>
          </cell>
        </row>
        <row r="55">
          <cell r="P55" t="str">
            <v>0-$2,500</v>
          </cell>
        </row>
        <row r="56">
          <cell r="G56">
            <v>2500000</v>
          </cell>
          <cell r="P56">
            <v>6538.74</v>
          </cell>
        </row>
        <row r="57">
          <cell r="G57">
            <v>1797250</v>
          </cell>
          <cell r="P57">
            <v>5999400</v>
          </cell>
        </row>
        <row r="58">
          <cell r="C58">
            <v>25416.331200000001</v>
          </cell>
          <cell r="P58" t="str">
            <v>replacement cost</v>
          </cell>
        </row>
        <row r="59">
          <cell r="P59">
            <v>115.27996618116137</v>
          </cell>
        </row>
        <row r="60">
          <cell r="P60">
            <v>25000</v>
          </cell>
        </row>
        <row r="61">
          <cell r="P61">
            <v>0</v>
          </cell>
        </row>
        <row r="63">
          <cell r="G63">
            <v>8941.3187500000004</v>
          </cell>
          <cell r="H63">
            <v>5.9700000000000003E-2</v>
          </cell>
        </row>
        <row r="64">
          <cell r="G64">
            <v>2605.4518740863405</v>
          </cell>
        </row>
        <row r="65">
          <cell r="G65">
            <v>11546.770624086341</v>
          </cell>
        </row>
        <row r="66">
          <cell r="P66">
            <v>19314.55</v>
          </cell>
        </row>
        <row r="67">
          <cell r="G67">
            <v>10879.377609246996</v>
          </cell>
        </row>
        <row r="69">
          <cell r="P69">
            <v>600000</v>
          </cell>
        </row>
        <row r="71">
          <cell r="G71">
            <v>0.18411336440513032</v>
          </cell>
        </row>
        <row r="72">
          <cell r="C72">
            <v>154491.74119999999</v>
          </cell>
          <cell r="G72">
            <v>0.22820582332722578</v>
          </cell>
        </row>
        <row r="73">
          <cell r="G73">
            <v>0.10764551152000001</v>
          </cell>
        </row>
        <row r="74">
          <cell r="C74">
            <v>269113.77880000003</v>
          </cell>
        </row>
        <row r="75">
          <cell r="G75">
            <v>1.9422008943827831</v>
          </cell>
        </row>
        <row r="77">
          <cell r="P77">
            <v>866.49</v>
          </cell>
        </row>
        <row r="78">
          <cell r="P78">
            <v>0.1027</v>
          </cell>
        </row>
        <row r="102">
          <cell r="G102">
            <v>709087.75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43356</v>
          </cell>
        </row>
        <row r="8">
          <cell r="E8">
            <v>3600</v>
          </cell>
          <cell r="G8">
            <v>1860</v>
          </cell>
          <cell r="O8">
            <v>0</v>
          </cell>
          <cell r="R8">
            <v>1860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44486</v>
          </cell>
          <cell r="P21">
            <v>45801</v>
          </cell>
        </row>
        <row r="22">
          <cell r="G22">
            <v>340000</v>
          </cell>
          <cell r="P22" t="str">
            <v>RealProtect</v>
          </cell>
        </row>
        <row r="23">
          <cell r="C23">
            <v>43200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85000</v>
          </cell>
          <cell r="P27">
            <v>0</v>
          </cell>
        </row>
        <row r="28">
          <cell r="G28">
            <v>199197.44</v>
          </cell>
          <cell r="P28">
            <v>122400</v>
          </cell>
        </row>
        <row r="29">
          <cell r="C29">
            <v>2592</v>
          </cell>
          <cell r="G29">
            <v>-114197.44</v>
          </cell>
          <cell r="P29" t="str">
            <v>Actual cash value</v>
          </cell>
        </row>
        <row r="30">
          <cell r="P30">
            <v>65.806451612903231</v>
          </cell>
        </row>
        <row r="31">
          <cell r="P31">
            <v>10000</v>
          </cell>
        </row>
        <row r="34">
          <cell r="G34">
            <v>647.39168000000006</v>
          </cell>
          <cell r="H34">
            <v>3.9E-2</v>
          </cell>
        </row>
        <row r="35">
          <cell r="G35">
            <v>292.15930825574401</v>
          </cell>
          <cell r="P35">
            <v>10000</v>
          </cell>
        </row>
        <row r="36">
          <cell r="G36">
            <v>939.55098825574407</v>
          </cell>
          <cell r="P36">
            <v>8.1699346405228759E-2</v>
          </cell>
        </row>
        <row r="37">
          <cell r="P37">
            <v>2706.9</v>
          </cell>
        </row>
        <row r="38">
          <cell r="G38">
            <v>1720.821511744256</v>
          </cell>
        </row>
        <row r="42">
          <cell r="G42" t="e">
            <v>#DIV/0!</v>
          </cell>
        </row>
        <row r="43">
          <cell r="C43">
            <v>11275.53</v>
          </cell>
          <cell r="G43" t="e">
            <v>#DIV/0!</v>
          </cell>
          <cell r="P43">
            <v>10000</v>
          </cell>
        </row>
        <row r="44">
          <cell r="G44">
            <v>0.37558200000000003</v>
          </cell>
          <cell r="P44">
            <v>250000</v>
          </cell>
        </row>
        <row r="45">
          <cell r="C45">
            <v>31924.47</v>
          </cell>
          <cell r="P45">
            <v>781.2</v>
          </cell>
        </row>
        <row r="46">
          <cell r="G46">
            <v>2.8315360563229501</v>
          </cell>
        </row>
        <row r="48">
          <cell r="P48">
            <v>0</v>
          </cell>
        </row>
        <row r="49">
          <cell r="P49">
            <v>0</v>
          </cell>
          <cell r="AA49">
            <v>80000</v>
          </cell>
        </row>
        <row r="73">
          <cell r="G73">
            <v>-98909.478400000007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43243</v>
          </cell>
        </row>
        <row r="10">
          <cell r="E10">
            <v>6100</v>
          </cell>
          <cell r="G10">
            <v>3024</v>
          </cell>
          <cell r="O10">
            <v>0</v>
          </cell>
          <cell r="R10">
            <v>3024</v>
          </cell>
          <cell r="S10">
            <v>0</v>
          </cell>
        </row>
        <row r="12">
          <cell r="C12">
            <v>4</v>
          </cell>
          <cell r="E12">
            <v>1</v>
          </cell>
          <cell r="G12">
            <v>1</v>
          </cell>
        </row>
        <row r="13">
          <cell r="C13">
            <v>0</v>
          </cell>
          <cell r="E13">
            <v>0</v>
          </cell>
          <cell r="G13">
            <v>0</v>
          </cell>
        </row>
        <row r="23">
          <cell r="G23">
            <v>44486</v>
          </cell>
          <cell r="P23">
            <v>45801</v>
          </cell>
        </row>
        <row r="24">
          <cell r="G24">
            <v>520000</v>
          </cell>
          <cell r="P24" t="str">
            <v>RealProtect</v>
          </cell>
        </row>
        <row r="25">
          <cell r="C25">
            <v>73200</v>
          </cell>
        </row>
        <row r="27">
          <cell r="P27" t="str">
            <v>1M each / 2M total</v>
          </cell>
        </row>
        <row r="28">
          <cell r="P28">
            <v>0</v>
          </cell>
        </row>
        <row r="29">
          <cell r="G29">
            <v>232500</v>
          </cell>
          <cell r="P29">
            <v>0</v>
          </cell>
        </row>
        <row r="30">
          <cell r="G30">
            <v>304654.88</v>
          </cell>
          <cell r="P30">
            <v>181440</v>
          </cell>
        </row>
        <row r="31">
          <cell r="C31">
            <v>4392</v>
          </cell>
          <cell r="P31" t="str">
            <v>Actual cash value</v>
          </cell>
        </row>
        <row r="32">
          <cell r="P32">
            <v>60</v>
          </cell>
        </row>
        <row r="33">
          <cell r="P33">
            <v>10000</v>
          </cell>
        </row>
        <row r="36">
          <cell r="G36">
            <v>990.12836000000004</v>
          </cell>
          <cell r="H36">
            <v>3.9E-2</v>
          </cell>
        </row>
        <row r="37">
          <cell r="G37">
            <v>446.83184180246849</v>
          </cell>
          <cell r="P37">
            <v>10000</v>
          </cell>
        </row>
        <row r="38">
          <cell r="G38">
            <v>1436.9602018024684</v>
          </cell>
          <cell r="P38">
            <v>5.5114638447971778E-2</v>
          </cell>
        </row>
        <row r="39">
          <cell r="P39">
            <v>4355.3999999999996</v>
          </cell>
        </row>
        <row r="40">
          <cell r="G40">
            <v>3210.974798197532</v>
          </cell>
        </row>
        <row r="44">
          <cell r="G44" t="e">
            <v>#DIV/0!</v>
          </cell>
        </row>
        <row r="45">
          <cell r="C45">
            <v>17424.78</v>
          </cell>
          <cell r="G45" t="e">
            <v>#DIV/0!</v>
          </cell>
        </row>
        <row r="46">
          <cell r="G46">
            <v>0.23989341935483871</v>
          </cell>
        </row>
        <row r="47">
          <cell r="C47">
            <v>55775.22</v>
          </cell>
        </row>
        <row r="48">
          <cell r="G48">
            <v>3.2345607026344965</v>
          </cell>
        </row>
        <row r="50">
          <cell r="P50">
            <v>0</v>
          </cell>
        </row>
        <row r="51">
          <cell r="P51">
            <v>0</v>
          </cell>
          <cell r="AA51">
            <v>40000</v>
          </cell>
        </row>
        <row r="75">
          <cell r="G75">
            <v>-55285.056800000035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10">
          <cell r="E10">
            <v>6100</v>
          </cell>
          <cell r="G10">
            <v>3024</v>
          </cell>
          <cell r="O10">
            <v>0</v>
          </cell>
          <cell r="R10">
            <v>3024</v>
          </cell>
          <cell r="S10">
            <v>0</v>
          </cell>
        </row>
        <row r="12">
          <cell r="C12">
            <v>4</v>
          </cell>
          <cell r="E12">
            <v>1</v>
          </cell>
          <cell r="G12">
            <v>1</v>
          </cell>
        </row>
        <row r="13">
          <cell r="C13">
            <v>0</v>
          </cell>
          <cell r="E13">
            <v>0</v>
          </cell>
          <cell r="G13">
            <v>0</v>
          </cell>
        </row>
        <row r="23">
          <cell r="G23">
            <v>44486</v>
          </cell>
          <cell r="P23">
            <v>45801</v>
          </cell>
        </row>
        <row r="24">
          <cell r="G24">
            <v>520000</v>
          </cell>
          <cell r="P24" t="str">
            <v>RealProtect</v>
          </cell>
        </row>
        <row r="25">
          <cell r="C25">
            <v>73200</v>
          </cell>
        </row>
        <row r="27">
          <cell r="P27" t="str">
            <v>1M each / 2M total</v>
          </cell>
        </row>
        <row r="28">
          <cell r="P28">
            <v>0</v>
          </cell>
        </row>
        <row r="29">
          <cell r="G29">
            <v>51000</v>
          </cell>
          <cell r="P29">
            <v>0</v>
          </cell>
        </row>
        <row r="30">
          <cell r="G30">
            <v>304654.88</v>
          </cell>
          <cell r="P30">
            <v>181440</v>
          </cell>
        </row>
        <row r="31">
          <cell r="C31">
            <v>4392</v>
          </cell>
          <cell r="P31" t="str">
            <v>Actual cash value</v>
          </cell>
        </row>
        <row r="32">
          <cell r="P32">
            <v>60</v>
          </cell>
        </row>
        <row r="33">
          <cell r="P33">
            <v>10000</v>
          </cell>
        </row>
        <row r="36">
          <cell r="G36">
            <v>990.12836000000004</v>
          </cell>
          <cell r="H36">
            <v>3.9E-2</v>
          </cell>
        </row>
        <row r="37">
          <cell r="G37">
            <v>446.83184180246849</v>
          </cell>
          <cell r="P37">
            <v>10000</v>
          </cell>
        </row>
        <row r="38">
          <cell r="G38">
            <v>1436.9602018024684</v>
          </cell>
          <cell r="P38">
            <v>5.5114638447971778E-2</v>
          </cell>
        </row>
        <row r="39">
          <cell r="P39">
            <v>4355.3999999999996</v>
          </cell>
        </row>
        <row r="40">
          <cell r="G40">
            <v>3210.9739648641985</v>
          </cell>
        </row>
        <row r="44">
          <cell r="G44" t="e">
            <v>#DIV/0!</v>
          </cell>
        </row>
        <row r="45">
          <cell r="C45">
            <v>17424.79</v>
          </cell>
          <cell r="G45" t="e">
            <v>#DIV/0!</v>
          </cell>
        </row>
        <row r="46">
          <cell r="G46">
            <v>1.0936315686274509</v>
          </cell>
        </row>
        <row r="47">
          <cell r="C47">
            <v>55775.21</v>
          </cell>
        </row>
        <row r="48">
          <cell r="G48">
            <v>3.2345601227065819</v>
          </cell>
        </row>
        <row r="50">
          <cell r="P50">
            <v>0</v>
          </cell>
        </row>
        <row r="51">
          <cell r="P51">
            <v>0</v>
          </cell>
          <cell r="AA51">
            <v>80000</v>
          </cell>
        </row>
        <row r="75">
          <cell r="G75">
            <v>-236785.05680000002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">
          <cell r="C3">
            <v>43538</v>
          </cell>
        </row>
        <row r="8">
          <cell r="E8">
            <v>3000</v>
          </cell>
          <cell r="G8">
            <v>1300</v>
          </cell>
          <cell r="O8">
            <v>0</v>
          </cell>
          <cell r="R8">
            <v>1300</v>
          </cell>
          <cell r="S8">
            <v>0</v>
          </cell>
        </row>
        <row r="10">
          <cell r="C10">
            <v>2</v>
          </cell>
          <cell r="E10">
            <v>1</v>
          </cell>
          <cell r="G10">
            <v>1</v>
          </cell>
        </row>
        <row r="11">
          <cell r="C11">
            <v>0</v>
          </cell>
          <cell r="E11">
            <v>0</v>
          </cell>
          <cell r="G11">
            <v>0</v>
          </cell>
        </row>
        <row r="21">
          <cell r="G21">
            <v>43630</v>
          </cell>
          <cell r="P21">
            <v>45801</v>
          </cell>
        </row>
        <row r="22">
          <cell r="G22">
            <v>180500</v>
          </cell>
          <cell r="P22" t="str">
            <v>RealProtect</v>
          </cell>
        </row>
        <row r="23">
          <cell r="C23">
            <v>36000</v>
          </cell>
        </row>
        <row r="25">
          <cell r="P25" t="str">
            <v>1M each / 2M total</v>
          </cell>
        </row>
        <row r="26">
          <cell r="P26">
            <v>0</v>
          </cell>
        </row>
        <row r="27">
          <cell r="G27">
            <v>126894</v>
          </cell>
          <cell r="P27">
            <v>0</v>
          </cell>
        </row>
        <row r="28">
          <cell r="G28">
            <v>135375</v>
          </cell>
          <cell r="P28">
            <v>65520</v>
          </cell>
        </row>
        <row r="29">
          <cell r="C29">
            <v>2160</v>
          </cell>
          <cell r="P29" t="str">
            <v>Actual cash value</v>
          </cell>
        </row>
        <row r="30">
          <cell r="P30">
            <v>50.4</v>
          </cell>
        </row>
        <row r="31">
          <cell r="P31">
            <v>10000</v>
          </cell>
        </row>
        <row r="34">
          <cell r="G34">
            <v>761.484375</v>
          </cell>
          <cell r="H34">
            <v>6.7500000000000004E-2</v>
          </cell>
        </row>
        <row r="35">
          <cell r="G35">
            <v>116.55529822922131</v>
          </cell>
          <cell r="P35">
            <v>10000</v>
          </cell>
        </row>
        <row r="36">
          <cell r="G36">
            <v>878.03967322922131</v>
          </cell>
          <cell r="P36">
            <v>0.15262515262515264</v>
          </cell>
        </row>
        <row r="37">
          <cell r="P37">
            <v>1512</v>
          </cell>
        </row>
        <row r="38">
          <cell r="G38">
            <v>1464.0794934374455</v>
          </cell>
        </row>
        <row r="42">
          <cell r="G42">
            <v>3.0034325142636207</v>
          </cell>
        </row>
        <row r="43">
          <cell r="C43">
            <v>7894.57</v>
          </cell>
          <cell r="G43">
            <v>3.2425356326260202</v>
          </cell>
        </row>
        <row r="44">
          <cell r="G44">
            <v>0.22148746197613756</v>
          </cell>
        </row>
        <row r="45">
          <cell r="C45">
            <v>28105.43</v>
          </cell>
        </row>
        <row r="46">
          <cell r="G46">
            <v>2.6674411624851859</v>
          </cell>
        </row>
        <row r="48">
          <cell r="P48">
            <v>0</v>
          </cell>
        </row>
        <row r="49">
          <cell r="P49">
            <v>0</v>
          </cell>
          <cell r="AA49">
            <v>17000</v>
          </cell>
        </row>
        <row r="73">
          <cell r="G73">
            <v>5849.6250000000055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3">
          <cell r="I13">
            <v>28249.333333333332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22">
          <cell r="E22">
            <v>27306.61</v>
          </cell>
          <cell r="G22">
            <v>28243</v>
          </cell>
          <cell r="O22">
            <v>1800</v>
          </cell>
          <cell r="R22">
            <v>23631</v>
          </cell>
          <cell r="S22">
            <v>4612</v>
          </cell>
        </row>
        <row r="24">
          <cell r="C24">
            <v>15</v>
          </cell>
          <cell r="E24">
            <v>0.83670289983358703</v>
          </cell>
          <cell r="G24">
            <v>0.8666666666666667</v>
          </cell>
        </row>
        <row r="25">
          <cell r="C25">
            <v>2</v>
          </cell>
          <cell r="E25">
            <v>0.16329710016641297</v>
          </cell>
          <cell r="G25">
            <v>0.13333333333333333</v>
          </cell>
        </row>
        <row r="35">
          <cell r="G35">
            <v>44501</v>
          </cell>
          <cell r="P35">
            <v>45641</v>
          </cell>
        </row>
        <row r="36">
          <cell r="G36">
            <v>3600000</v>
          </cell>
          <cell r="P36" t="str">
            <v>Jone</v>
          </cell>
        </row>
        <row r="37">
          <cell r="C37">
            <v>327679.32</v>
          </cell>
        </row>
        <row r="39">
          <cell r="P39" t="str">
            <v>1M each / 2M total</v>
          </cell>
        </row>
        <row r="40">
          <cell r="P40">
            <v>1000</v>
          </cell>
        </row>
        <row r="41">
          <cell r="G41">
            <v>2350000</v>
          </cell>
          <cell r="P41">
            <v>4872.75</v>
          </cell>
        </row>
        <row r="42">
          <cell r="G42">
            <v>2520000</v>
          </cell>
          <cell r="P42">
            <v>3584875</v>
          </cell>
        </row>
        <row r="43">
          <cell r="P43" t="str">
            <v>Replacement cost</v>
          </cell>
        </row>
        <row r="44">
          <cell r="C44">
            <v>19660.7592</v>
          </cell>
        </row>
        <row r="45">
          <cell r="P45">
            <v>10000</v>
          </cell>
        </row>
        <row r="46">
          <cell r="P46">
            <v>0</v>
          </cell>
        </row>
        <row r="48">
          <cell r="G48">
            <v>7875</v>
          </cell>
          <cell r="H48">
            <v>3.7499999999999999E-2</v>
          </cell>
        </row>
        <row r="49">
          <cell r="G49">
            <v>5081.1062299793548</v>
          </cell>
        </row>
        <row r="50">
          <cell r="G50">
            <v>12956.106229979356</v>
          </cell>
        </row>
        <row r="51">
          <cell r="P51">
            <v>10436.299999999999</v>
          </cell>
        </row>
        <row r="52">
          <cell r="G52">
            <v>7825.003003353977</v>
          </cell>
        </row>
        <row r="56">
          <cell r="G56" t="e">
            <v>#DIV/0!</v>
          </cell>
        </row>
        <row r="57">
          <cell r="G57" t="e">
            <v>#DIV/0!</v>
          </cell>
        </row>
        <row r="58">
          <cell r="C58">
            <v>78306.0092</v>
          </cell>
          <cell r="G58">
            <v>0.10611630246808511</v>
          </cell>
        </row>
        <row r="60">
          <cell r="C60">
            <v>249373.31080000001</v>
          </cell>
          <cell r="G60">
            <v>1.6039625535986706</v>
          </cell>
        </row>
        <row r="62">
          <cell r="P62">
            <v>553.47</v>
          </cell>
        </row>
        <row r="63">
          <cell r="P63">
            <v>0.13009999999999999</v>
          </cell>
        </row>
        <row r="88">
          <cell r="G88">
            <v>-86199.999999999971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0">
          <cell r="E30">
            <v>21156</v>
          </cell>
          <cell r="G30">
            <v>151471</v>
          </cell>
          <cell r="O30">
            <v>14900</v>
          </cell>
          <cell r="R30">
            <v>85382</v>
          </cell>
          <cell r="S30">
            <v>66089</v>
          </cell>
        </row>
        <row r="32">
          <cell r="C32">
            <v>24</v>
          </cell>
          <cell r="E32">
            <v>0.5636854579424444</v>
          </cell>
          <cell r="G32">
            <v>0.5</v>
          </cell>
        </row>
        <row r="33">
          <cell r="C33">
            <v>12</v>
          </cell>
          <cell r="E33">
            <v>0.4363145420575556</v>
          </cell>
          <cell r="G33">
            <v>0.5</v>
          </cell>
        </row>
        <row r="43">
          <cell r="G43">
            <v>44866</v>
          </cell>
          <cell r="P43">
            <v>46057</v>
          </cell>
        </row>
        <row r="44">
          <cell r="G44">
            <v>2500000</v>
          </cell>
          <cell r="P44" t="str">
            <v xml:space="preserve">Damaris, Myriam, Ryan, Silvia </v>
          </cell>
        </row>
        <row r="45">
          <cell r="C45">
            <v>269781</v>
          </cell>
        </row>
        <row r="47">
          <cell r="P47" t="str">
            <v>1M each / 2M total</v>
          </cell>
        </row>
        <row r="48">
          <cell r="P48">
            <v>0</v>
          </cell>
        </row>
        <row r="49">
          <cell r="G49">
            <v>2100000</v>
          </cell>
          <cell r="P49">
            <v>2846</v>
          </cell>
        </row>
        <row r="50">
          <cell r="G50">
            <v>1575000</v>
          </cell>
          <cell r="P50">
            <v>5000000</v>
          </cell>
        </row>
        <row r="51">
          <cell r="C51">
            <v>16186.859999999999</v>
          </cell>
          <cell r="P51" t="str">
            <v>Actual cash value</v>
          </cell>
        </row>
        <row r="52">
          <cell r="P52">
            <v>33.009619002977466</v>
          </cell>
        </row>
        <row r="53">
          <cell r="P53">
            <v>50000</v>
          </cell>
        </row>
        <row r="54">
          <cell r="P54">
            <v>0</v>
          </cell>
        </row>
        <row r="56">
          <cell r="G56">
            <v>7389.375</v>
          </cell>
          <cell r="H56">
            <v>5.6300000000000003E-2</v>
          </cell>
        </row>
        <row r="57">
          <cell r="G57">
            <v>2405.1587793240069</v>
          </cell>
          <cell r="P57">
            <v>0</v>
          </cell>
        </row>
        <row r="58">
          <cell r="G58">
            <v>9794.5337793240069</v>
          </cell>
          <cell r="P58">
            <v>0</v>
          </cell>
        </row>
        <row r="59">
          <cell r="P59">
            <v>15705.04</v>
          </cell>
        </row>
        <row r="60">
          <cell r="G60">
            <v>5088.0578873426603</v>
          </cell>
        </row>
        <row r="64">
          <cell r="G64">
            <v>0.10832031381613276</v>
          </cell>
        </row>
        <row r="65">
          <cell r="C65">
            <v>91189.9</v>
          </cell>
          <cell r="G65">
            <v>0.15952404606967222</v>
          </cell>
        </row>
        <row r="66">
          <cell r="G66">
            <v>8.5043380952380954E-2</v>
          </cell>
        </row>
        <row r="67">
          <cell r="C67">
            <v>178591.1</v>
          </cell>
        </row>
        <row r="68">
          <cell r="G68">
            <v>1.5194793342878057</v>
          </cell>
        </row>
        <row r="71">
          <cell r="P71">
            <v>0</v>
          </cell>
        </row>
        <row r="72">
          <cell r="P72">
            <v>0</v>
          </cell>
        </row>
        <row r="95">
          <cell r="G95">
            <v>563668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34">
          <cell r="E34">
            <v>27753</v>
          </cell>
          <cell r="G34">
            <v>143000</v>
          </cell>
          <cell r="O34">
            <v>19900</v>
          </cell>
          <cell r="R34">
            <v>63573</v>
          </cell>
          <cell r="S34">
            <v>79427</v>
          </cell>
        </row>
        <row r="36">
          <cell r="C36">
            <v>28</v>
          </cell>
          <cell r="E36">
            <v>0.44456643356643355</v>
          </cell>
          <cell r="G36">
            <v>0.5</v>
          </cell>
        </row>
        <row r="37">
          <cell r="C37">
            <v>14</v>
          </cell>
          <cell r="E37">
            <v>0.55543356643356645</v>
          </cell>
          <cell r="G37">
            <v>0.5</v>
          </cell>
        </row>
        <row r="47">
          <cell r="G47">
            <v>44986</v>
          </cell>
          <cell r="P47">
            <v>45838</v>
          </cell>
        </row>
        <row r="48">
          <cell r="G48">
            <v>3100000</v>
          </cell>
          <cell r="P48" t="str">
            <v>Matthew</v>
          </cell>
        </row>
        <row r="49">
          <cell r="C49">
            <v>333036</v>
          </cell>
        </row>
        <row r="51">
          <cell r="P51" t="str">
            <v>1M each / 2M total</v>
          </cell>
        </row>
        <row r="52">
          <cell r="P52">
            <v>500</v>
          </cell>
        </row>
        <row r="53">
          <cell r="G53">
            <v>2300000</v>
          </cell>
          <cell r="P53">
            <v>7875.92</v>
          </cell>
        </row>
        <row r="54">
          <cell r="G54">
            <v>1495000</v>
          </cell>
          <cell r="P54">
            <v>13844430</v>
          </cell>
        </row>
        <row r="55">
          <cell r="C55">
            <v>19982.16</v>
          </cell>
          <cell r="P55" t="str">
            <v>replacement cost</v>
          </cell>
        </row>
        <row r="56">
          <cell r="P56">
            <v>96.814195804195805</v>
          </cell>
        </row>
        <row r="57">
          <cell r="P57">
            <v>50000</v>
          </cell>
        </row>
        <row r="58">
          <cell r="P58">
            <v>0</v>
          </cell>
        </row>
        <row r="60">
          <cell r="G60">
            <v>8533.9583333333339</v>
          </cell>
          <cell r="H60">
            <v>6.8500000000000005E-2</v>
          </cell>
        </row>
        <row r="61">
          <cell r="G61">
            <v>1889.767433999039</v>
          </cell>
          <cell r="P61">
            <v>0</v>
          </cell>
        </row>
        <row r="62">
          <cell r="G62">
            <v>10423.725767332373</v>
          </cell>
          <cell r="P62">
            <v>0</v>
          </cell>
        </row>
        <row r="63">
          <cell r="P63">
            <v>34181</v>
          </cell>
        </row>
        <row r="64">
          <cell r="G64">
            <v>7773.3808993342973</v>
          </cell>
        </row>
        <row r="66">
          <cell r="P66">
            <v>875276</v>
          </cell>
        </row>
        <row r="68">
          <cell r="G68">
            <v>0.11143433895042536</v>
          </cell>
        </row>
        <row r="69">
          <cell r="C69">
            <v>114670.71999999999</v>
          </cell>
          <cell r="G69">
            <v>0.13852486590450253</v>
          </cell>
        </row>
        <row r="70">
          <cell r="G70">
            <v>9.4941426086956535E-2</v>
          </cell>
        </row>
        <row r="71">
          <cell r="C71">
            <v>218365.28000000003</v>
          </cell>
        </row>
        <row r="72">
          <cell r="G72">
            <v>1.745739198521111</v>
          </cell>
        </row>
        <row r="74">
          <cell r="P74">
            <v>2107.13</v>
          </cell>
        </row>
        <row r="75">
          <cell r="P75">
            <v>9.4700000000000006E-2</v>
          </cell>
        </row>
        <row r="99">
          <cell r="G99">
            <v>837090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14">
          <cell r="E14">
            <v>19047.72</v>
          </cell>
          <cell r="G14">
            <v>20400</v>
          </cell>
          <cell r="O14">
            <v>0</v>
          </cell>
          <cell r="R14">
            <v>20400</v>
          </cell>
        </row>
        <row r="16">
          <cell r="C16">
            <v>7</v>
          </cell>
          <cell r="E16">
            <v>1</v>
          </cell>
          <cell r="G16">
            <v>1</v>
          </cell>
        </row>
        <row r="17">
          <cell r="C17">
            <v>0</v>
          </cell>
          <cell r="E17">
            <v>0</v>
          </cell>
          <cell r="G17">
            <v>0</v>
          </cell>
        </row>
        <row r="27">
          <cell r="G27">
            <v>44682</v>
          </cell>
          <cell r="P27">
            <v>45632</v>
          </cell>
        </row>
        <row r="28">
          <cell r="G28">
            <v>1400000</v>
          </cell>
          <cell r="P28" t="str">
            <v>Jone</v>
          </cell>
        </row>
        <row r="29">
          <cell r="C29">
            <v>228572.64</v>
          </cell>
        </row>
        <row r="31">
          <cell r="P31" t="str">
            <v>1M each / 2M total</v>
          </cell>
        </row>
        <row r="32">
          <cell r="P32">
            <v>0</v>
          </cell>
        </row>
        <row r="33">
          <cell r="G33">
            <v>860000</v>
          </cell>
          <cell r="P33">
            <v>4493.3</v>
          </cell>
        </row>
        <row r="34">
          <cell r="G34">
            <v>985000</v>
          </cell>
          <cell r="P34">
            <v>2226400</v>
          </cell>
        </row>
        <row r="35">
          <cell r="C35">
            <v>13714.358400000001</v>
          </cell>
          <cell r="P35" t="str">
            <v>replacement cost</v>
          </cell>
        </row>
        <row r="36">
          <cell r="P36">
            <v>109.13725490196079</v>
          </cell>
        </row>
        <row r="37">
          <cell r="P37">
            <v>10000</v>
          </cell>
        </row>
        <row r="38">
          <cell r="P38">
            <v>0.8</v>
          </cell>
        </row>
        <row r="40">
          <cell r="G40">
            <v>3529.5833333333335</v>
          </cell>
          <cell r="H40">
            <v>4.2999999999999997E-2</v>
          </cell>
        </row>
        <row r="41">
          <cell r="G41">
            <v>1834.1515162932728</v>
          </cell>
        </row>
        <row r="42">
          <cell r="G42">
            <v>5363.7348496266059</v>
          </cell>
        </row>
        <row r="43">
          <cell r="P43">
            <v>8062.8</v>
          </cell>
        </row>
        <row r="44">
          <cell r="G44">
            <v>8108.4611170400603</v>
          </cell>
        </row>
        <row r="48">
          <cell r="G48" t="e">
            <v>#DIV/0!</v>
          </cell>
        </row>
        <row r="49">
          <cell r="G49" t="e">
            <v>#DIV/0!</v>
          </cell>
        </row>
        <row r="50">
          <cell r="C50">
            <v>66906.288400000005</v>
          </cell>
          <cell r="G50">
            <v>0.18798412976744186</v>
          </cell>
        </row>
        <row r="52">
          <cell r="C52">
            <v>161666.35159999999</v>
          </cell>
          <cell r="G52">
            <v>2.5117192300444398</v>
          </cell>
        </row>
        <row r="54">
          <cell r="P54">
            <v>529.83000000000004</v>
          </cell>
        </row>
        <row r="55">
          <cell r="P55">
            <v>0.13450000000000001</v>
          </cell>
        </row>
        <row r="79">
          <cell r="G79">
            <v>-125000.00000000003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ion"/>
      <sheetName val="rent"/>
      <sheetName val="contact info"/>
      <sheetName val="amo 1 "/>
      <sheetName val="amo 2"/>
    </sheetNames>
    <sheetDataSet>
      <sheetData sheetId="0">
        <row r="16">
          <cell r="E16">
            <v>26961.1</v>
          </cell>
          <cell r="G16">
            <v>63191</v>
          </cell>
          <cell r="O16">
            <v>2500</v>
          </cell>
          <cell r="R16">
            <v>58291</v>
          </cell>
          <cell r="S16">
            <v>4900</v>
          </cell>
        </row>
        <row r="18">
          <cell r="C18">
            <v>9</v>
          </cell>
          <cell r="E18">
            <v>0.92245731195898151</v>
          </cell>
          <cell r="G18">
            <v>0.88888888888888884</v>
          </cell>
        </row>
        <row r="19">
          <cell r="C19">
            <v>1</v>
          </cell>
          <cell r="E19">
            <v>7.7542688041018493E-2</v>
          </cell>
          <cell r="G19">
            <v>0.1111111111111111</v>
          </cell>
        </row>
        <row r="29">
          <cell r="G29">
            <v>44652</v>
          </cell>
          <cell r="P29">
            <v>45476</v>
          </cell>
        </row>
        <row r="30">
          <cell r="G30">
            <v>4200000</v>
          </cell>
          <cell r="P30" t="str">
            <v>Jone</v>
          </cell>
        </row>
        <row r="31">
          <cell r="C31">
            <v>323533.2</v>
          </cell>
        </row>
        <row r="33">
          <cell r="P33" t="str">
            <v>1M each / 2M total</v>
          </cell>
        </row>
        <row r="34">
          <cell r="P34">
            <v>0</v>
          </cell>
        </row>
        <row r="35">
          <cell r="G35">
            <v>2150000</v>
          </cell>
          <cell r="P35">
            <v>0</v>
          </cell>
        </row>
        <row r="36">
          <cell r="G36">
            <v>2671500</v>
          </cell>
          <cell r="P36">
            <v>8888750</v>
          </cell>
        </row>
        <row r="37">
          <cell r="C37">
            <v>19411.991999999998</v>
          </cell>
          <cell r="P37" t="str">
            <v>replacement cost</v>
          </cell>
        </row>
        <row r="38">
          <cell r="P38">
            <v>140.66480986216391</v>
          </cell>
        </row>
        <row r="39">
          <cell r="P39">
            <v>50000</v>
          </cell>
        </row>
        <row r="40">
          <cell r="P40">
            <v>0.8</v>
          </cell>
        </row>
        <row r="42">
          <cell r="G42">
            <v>9461.5625000000018</v>
          </cell>
          <cell r="H42">
            <v>4.2500000000000003E-2</v>
          </cell>
        </row>
        <row r="43">
          <cell r="G43">
            <v>5010.9708676955652</v>
          </cell>
        </row>
        <row r="44">
          <cell r="G44">
            <v>14472.533367695567</v>
          </cell>
        </row>
        <row r="45">
          <cell r="P45">
            <v>23907.38</v>
          </cell>
        </row>
        <row r="46">
          <cell r="G46">
            <v>3859.6756323044319</v>
          </cell>
        </row>
        <row r="48">
          <cell r="P48">
            <v>200000</v>
          </cell>
        </row>
        <row r="50">
          <cell r="G50" t="e">
            <v>#DIV/0!</v>
          </cell>
        </row>
        <row r="51">
          <cell r="C51">
            <v>103546.69200000001</v>
          </cell>
          <cell r="G51" t="e">
            <v>#DIV/0!</v>
          </cell>
        </row>
        <row r="52">
          <cell r="G52">
            <v>0.10231930604651163</v>
          </cell>
        </row>
        <row r="53">
          <cell r="C53">
            <v>219986.508</v>
          </cell>
        </row>
        <row r="54">
          <cell r="G54">
            <v>1.2666897034709688</v>
          </cell>
        </row>
        <row r="56">
          <cell r="P56">
            <v>790</v>
          </cell>
        </row>
        <row r="57">
          <cell r="P57">
            <v>0.1123</v>
          </cell>
        </row>
        <row r="81">
          <cell r="G81">
            <v>-471499.99999999994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1295"/>
  <sheetViews>
    <sheetView tabSelected="1" topLeftCell="A105" zoomScaleNormal="100" workbookViewId="0">
      <pane xSplit="2" topLeftCell="C1" activePane="topRight" state="frozen"/>
      <selection pane="topRight" activeCell="D124" sqref="D124"/>
    </sheetView>
  </sheetViews>
  <sheetFormatPr defaultColWidth="12.59765625" defaultRowHeight="15" customHeight="1" x14ac:dyDescent="0.25"/>
  <cols>
    <col min="1" max="1" width="7.59765625" style="1" customWidth="1"/>
    <col min="2" max="2" width="46.296875" style="1" customWidth="1"/>
    <col min="3" max="3" width="15.5" style="1" customWidth="1"/>
    <col min="4" max="4" width="16.5" style="1" customWidth="1"/>
    <col min="5" max="5" width="13.69921875" style="1" customWidth="1"/>
    <col min="6" max="6" width="15" style="1" customWidth="1"/>
    <col min="7" max="7" width="13.8984375" style="1" customWidth="1"/>
    <col min="8" max="8" width="13.8984375" style="1" bestFit="1" customWidth="1"/>
    <col min="9" max="9" width="16.69921875" style="1" bestFit="1" customWidth="1"/>
    <col min="10" max="10" width="14" style="1" customWidth="1"/>
    <col min="11" max="11" width="12.69921875" style="1" customWidth="1"/>
    <col min="12" max="12" width="13.09765625" style="1" customWidth="1"/>
    <col min="13" max="13" width="12.5" style="1" customWidth="1"/>
    <col min="14" max="14" width="13.19921875" style="1" customWidth="1"/>
    <col min="15" max="15" width="20.69921875" style="1" customWidth="1"/>
    <col min="16" max="16" width="12.796875" style="1" customWidth="1"/>
    <col min="17" max="17" width="13.59765625" style="1" customWidth="1"/>
    <col min="18" max="18" width="14.19921875" style="1" customWidth="1"/>
    <col min="19" max="20" width="13.59765625" style="1" customWidth="1"/>
    <col min="21" max="21" width="12.5" style="1" customWidth="1"/>
    <col min="22" max="22" width="13.69921875" style="1" bestFit="1" customWidth="1"/>
    <col min="23" max="23" width="12.5" style="1" customWidth="1"/>
    <col min="24" max="24" width="13.796875" style="1" customWidth="1"/>
    <col min="25" max="25" width="13.3984375" style="1" customWidth="1"/>
    <col min="26" max="26" width="15.19921875" style="1" customWidth="1"/>
    <col min="27" max="27" width="15.5" style="1" customWidth="1"/>
    <col min="28" max="28" width="12.19921875" style="1" customWidth="1"/>
    <col min="29" max="29" width="12.59765625" style="1" customWidth="1"/>
    <col min="30" max="30" width="13.09765625" style="1" bestFit="1" customWidth="1"/>
    <col min="31" max="31" width="11.69921875" style="1" customWidth="1"/>
    <col min="32" max="32" width="10.8984375" style="1" customWidth="1"/>
    <col min="33" max="33" width="11.69921875" style="1" customWidth="1"/>
    <col min="34" max="34" width="14.59765625" style="1" bestFit="1" customWidth="1"/>
    <col min="35" max="35" width="15.3984375" style="1" customWidth="1"/>
    <col min="36" max="36" width="7.59765625" style="1" customWidth="1"/>
    <col min="37" max="16384" width="12.59765625" style="1"/>
  </cols>
  <sheetData>
    <row r="2" spans="1:28" ht="24.6" customHeight="1" x14ac:dyDescent="0.4">
      <c r="B2" s="102" t="s">
        <v>154</v>
      </c>
      <c r="K2" s="149"/>
    </row>
    <row r="4" spans="1:28" s="11" customFormat="1" ht="48" customHeight="1" x14ac:dyDescent="0.25">
      <c r="A4" s="9"/>
      <c r="B4" s="10" t="s">
        <v>147</v>
      </c>
      <c r="C4" s="9" t="s">
        <v>0</v>
      </c>
      <c r="D4" s="9" t="s">
        <v>14</v>
      </c>
      <c r="E4" s="9" t="s">
        <v>15</v>
      </c>
      <c r="F4" s="9" t="s">
        <v>34</v>
      </c>
      <c r="G4" s="9" t="s">
        <v>35</v>
      </c>
      <c r="H4" s="9" t="s">
        <v>16</v>
      </c>
      <c r="I4" s="9" t="s">
        <v>17</v>
      </c>
      <c r="J4" s="9" t="s">
        <v>36</v>
      </c>
      <c r="K4" s="9" t="s">
        <v>37</v>
      </c>
      <c r="L4" s="9" t="s">
        <v>31</v>
      </c>
      <c r="M4" s="9" t="s">
        <v>1</v>
      </c>
      <c r="N4" s="9" t="s">
        <v>2</v>
      </c>
      <c r="O4" s="9" t="s">
        <v>12</v>
      </c>
      <c r="P4" s="9" t="s">
        <v>3</v>
      </c>
      <c r="Q4" s="9" t="s">
        <v>6</v>
      </c>
      <c r="R4" s="9" t="s">
        <v>7</v>
      </c>
      <c r="S4" s="9" t="s">
        <v>13</v>
      </c>
      <c r="T4" s="9" t="s">
        <v>146</v>
      </c>
      <c r="U4" s="9" t="s">
        <v>184</v>
      </c>
      <c r="V4" s="9" t="s">
        <v>38</v>
      </c>
      <c r="W4" s="9" t="s">
        <v>39</v>
      </c>
      <c r="X4" s="9" t="s">
        <v>18</v>
      </c>
      <c r="Y4" s="9" t="s">
        <v>187</v>
      </c>
      <c r="Z4" s="9" t="s">
        <v>188</v>
      </c>
      <c r="AA4" s="9" t="s">
        <v>189</v>
      </c>
      <c r="AB4" s="1"/>
    </row>
    <row r="5" spans="1:28" s="2" customFormat="1" ht="14.25" customHeight="1" x14ac:dyDescent="0.25">
      <c r="A5" s="142">
        <v>1</v>
      </c>
      <c r="B5" s="19" t="s">
        <v>19</v>
      </c>
      <c r="C5" s="21">
        <f>[1]calculation!$C$31</f>
        <v>23</v>
      </c>
      <c r="D5" s="22">
        <f>C5-H5</f>
        <v>22</v>
      </c>
      <c r="E5" s="22">
        <f>[1]calculation!$R$29</f>
        <v>118559</v>
      </c>
      <c r="F5" s="23">
        <f>[1]calculation!$E$31</f>
        <v>0.94863137007017184</v>
      </c>
      <c r="G5" s="23">
        <f>[1]calculation!$G$31</f>
        <v>0.95652173913043481</v>
      </c>
      <c r="H5" s="24">
        <f>[1]calculation!$C$32</f>
        <v>1</v>
      </c>
      <c r="I5" s="24">
        <f>[1]calculation!$S$29</f>
        <v>6420</v>
      </c>
      <c r="J5" s="25">
        <f>[1]calculation!$E$32</f>
        <v>5.1368629929828158E-2</v>
      </c>
      <c r="K5" s="25">
        <f>[1]calculation!$G$32</f>
        <v>4.3478260869565216E-2</v>
      </c>
      <c r="L5" s="149">
        <f>[1]calculation!$G$29</f>
        <v>124979</v>
      </c>
      <c r="M5" s="5">
        <f>[1]calculation!$C$29</f>
        <v>64269</v>
      </c>
      <c r="N5" s="5">
        <f>[1]calculation!$C$44</f>
        <v>771228</v>
      </c>
      <c r="O5" s="5">
        <f>[1]calculation!$C$65</f>
        <v>186340.28</v>
      </c>
      <c r="P5" s="5">
        <f>[1]calculation!$C$67</f>
        <v>584887.72</v>
      </c>
      <c r="Q5" s="6">
        <f>[1]calculation!$G$65</f>
        <v>0.11247840769230769</v>
      </c>
      <c r="R5" s="6">
        <f>[1]calculation!$G$63</f>
        <v>0.25499641498731412</v>
      </c>
      <c r="S5" s="6">
        <f>[1]calculation!$G$64</f>
        <v>0.37735236950390683</v>
      </c>
      <c r="T5" s="5">
        <f>[1]calculation!$G$56*12</f>
        <v>132321.84701196922</v>
      </c>
      <c r="U5" s="51">
        <f>[1]calculation!$C$50/12</f>
        <v>3856.14</v>
      </c>
      <c r="V5" s="5">
        <f>[1]calculation!$G$59</f>
        <v>22980.489415669232</v>
      </c>
      <c r="W5" s="5">
        <f>V5*12</f>
        <v>275765.87298803078</v>
      </c>
      <c r="X5" s="5">
        <f>[1]calculation!$O$29</f>
        <v>0</v>
      </c>
      <c r="Y5" s="35">
        <v>0.5</v>
      </c>
      <c r="Z5" s="5">
        <f>V5*Y5</f>
        <v>11490.244707834616</v>
      </c>
      <c r="AA5" s="5">
        <f>Z5*12</f>
        <v>137882.93649401539</v>
      </c>
      <c r="AB5" s="1"/>
    </row>
    <row r="6" spans="1:28" s="2" customFormat="1" ht="14.25" customHeight="1" x14ac:dyDescent="0.25">
      <c r="A6" s="142"/>
      <c r="B6" s="40"/>
      <c r="C6" s="41"/>
      <c r="D6" s="41"/>
      <c r="E6" s="41"/>
      <c r="F6" s="41"/>
      <c r="G6" s="41"/>
      <c r="H6" s="41"/>
      <c r="I6" s="41"/>
      <c r="J6" s="41"/>
      <c r="K6" s="108"/>
      <c r="L6" s="41"/>
      <c r="M6" s="41"/>
      <c r="N6" s="41"/>
      <c r="O6" s="46"/>
      <c r="P6" s="46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1"/>
    </row>
    <row r="7" spans="1:28" s="2" customFormat="1" ht="14.25" customHeight="1" x14ac:dyDescent="0.25">
      <c r="A7" s="142">
        <v>2</v>
      </c>
      <c r="B7" s="19" t="s">
        <v>20</v>
      </c>
      <c r="C7" s="21">
        <f>[2]calculation!$C$30</f>
        <v>22</v>
      </c>
      <c r="D7" s="22">
        <f t="shared" ref="D7:D33" si="0">C7-H7</f>
        <v>6</v>
      </c>
      <c r="E7" s="22">
        <f>[2]calculation!$R$28</f>
        <v>19577</v>
      </c>
      <c r="F7" s="23">
        <f>[2]calculation!$E$30</f>
        <v>0.10907622019166481</v>
      </c>
      <c r="G7" s="23">
        <f>[2]calculation!$G$30</f>
        <v>0.27272727272727271</v>
      </c>
      <c r="H7" s="26">
        <f>[2]calculation!$C$31</f>
        <v>16</v>
      </c>
      <c r="I7" s="24">
        <f>[2]calculation!$S$28</f>
        <v>159903</v>
      </c>
      <c r="J7" s="25">
        <f>[2]calculation!$E$31</f>
        <v>0.89092377980833515</v>
      </c>
      <c r="K7" s="25">
        <f>[2]calculation!$G$31</f>
        <v>0.72727272727272729</v>
      </c>
      <c r="L7" s="149">
        <f>[2]calculation!$G$28</f>
        <v>179480</v>
      </c>
      <c r="M7" s="5">
        <f>[2]calculation!$E$28</f>
        <v>6428</v>
      </c>
      <c r="N7" s="5">
        <f>[2]calculation!$C$43</f>
        <v>77136</v>
      </c>
      <c r="O7" s="5">
        <f>[2]calculation!$C$64</f>
        <v>66321.98000000001</v>
      </c>
      <c r="P7" s="5">
        <f>[2]calculation!$C$66</f>
        <v>10814.01999999999</v>
      </c>
      <c r="Q7" s="6">
        <f>[2]calculation!$G$64</f>
        <v>5.4070099999999951E-3</v>
      </c>
      <c r="R7" s="6">
        <f>[2]calculation!$G$62</f>
        <v>-0.16404354541770302</v>
      </c>
      <c r="S7" s="6">
        <f>[2]calculation!$G$63</f>
        <v>-9.5651592113168413E-2</v>
      </c>
      <c r="T7" s="5">
        <f>[2]calculation!$G$55*12</f>
        <v>35061.27164547627</v>
      </c>
      <c r="U7" s="5">
        <f>[2]calculation!$C$49/12</f>
        <v>385.68</v>
      </c>
      <c r="V7" s="5">
        <f>[2]calculation!$G$58</f>
        <v>-7008.1043037896907</v>
      </c>
      <c r="W7" s="5">
        <f t="shared" ref="W7:W33" si="1">V7*12</f>
        <v>-84097.251645476295</v>
      </c>
      <c r="X7" s="5">
        <f>[2]calculation!$O$28</f>
        <v>36500</v>
      </c>
      <c r="Y7" s="35">
        <v>0.45</v>
      </c>
      <c r="Z7" s="5">
        <f>V7*Y7</f>
        <v>-3153.646936705361</v>
      </c>
      <c r="AA7" s="5">
        <f>Z7*12</f>
        <v>-37843.76324046433</v>
      </c>
      <c r="AB7" s="1"/>
    </row>
    <row r="8" spans="1:28" s="2" customFormat="1" ht="14.25" customHeight="1" x14ac:dyDescent="0.25">
      <c r="A8" s="142"/>
      <c r="B8" s="40"/>
      <c r="C8" s="41"/>
      <c r="D8" s="41"/>
      <c r="E8" s="41"/>
      <c r="F8" s="41"/>
      <c r="G8" s="41"/>
      <c r="H8" s="41"/>
      <c r="I8" s="41"/>
      <c r="J8" s="41"/>
      <c r="K8" s="108"/>
      <c r="L8" s="41"/>
      <c r="M8" s="41"/>
      <c r="N8" s="41"/>
      <c r="O8" s="46"/>
      <c r="P8" s="46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1"/>
    </row>
    <row r="9" spans="1:28" s="2" customFormat="1" ht="14.25" customHeight="1" x14ac:dyDescent="0.25">
      <c r="A9" s="142">
        <v>3</v>
      </c>
      <c r="B9" s="19" t="s">
        <v>21</v>
      </c>
      <c r="C9" s="21">
        <f>[3]calculation!$C$23</f>
        <v>15</v>
      </c>
      <c r="D9" s="22">
        <f t="shared" si="0"/>
        <v>12</v>
      </c>
      <c r="E9" s="22">
        <f>[3]calculation!$R$21</f>
        <v>65139</v>
      </c>
      <c r="F9" s="23">
        <f>[3]calculation!$E$23</f>
        <v>0.61047590485651626</v>
      </c>
      <c r="G9" s="23">
        <f>[3]calculation!$G$23</f>
        <v>0.8</v>
      </c>
      <c r="H9" s="26">
        <f>[3]calculation!$C$24</f>
        <v>3</v>
      </c>
      <c r="I9" s="24">
        <f>[3]calculation!$S$21</f>
        <v>41563</v>
      </c>
      <c r="J9" s="25">
        <f>[3]calculation!$E$24</f>
        <v>0.38952409514348374</v>
      </c>
      <c r="K9" s="25">
        <f>[3]calculation!$G$24</f>
        <v>0.2</v>
      </c>
      <c r="L9" s="149">
        <f>[3]calculation!$G$21</f>
        <v>106702</v>
      </c>
      <c r="M9" s="5">
        <f>[3]calculation!$E$21</f>
        <v>26131</v>
      </c>
      <c r="N9" s="5">
        <f>[3]calculation!$C$36</f>
        <v>313572</v>
      </c>
      <c r="O9" s="5">
        <f>[3]calculation!$C$56</f>
        <v>100658.4</v>
      </c>
      <c r="P9" s="5">
        <f>[3]calculation!$C$58</f>
        <v>212913.6</v>
      </c>
      <c r="Q9" s="6">
        <f>[3]calculation!$G$57</f>
        <v>6.4519272727272731E-2</v>
      </c>
      <c r="R9" s="6">
        <f>[3]calculation!$G$55</f>
        <v>2.4264560321033572E-2</v>
      </c>
      <c r="S9" s="6">
        <f>[3]calculation!$G$56</f>
        <v>0.14598289607189446</v>
      </c>
      <c r="T9" s="5">
        <f>[3]calculation!$G$48*12</f>
        <v>83973.479834518919</v>
      </c>
      <c r="U9" s="5">
        <f>[3]calculation!$C$42/12</f>
        <v>1567.86</v>
      </c>
      <c r="V9" s="5">
        <f>[3]calculation!$G$51</f>
        <v>1395.0100137900881</v>
      </c>
      <c r="W9" s="5">
        <f t="shared" si="1"/>
        <v>16740.120165481057</v>
      </c>
      <c r="X9" s="5">
        <f>[3]calculation!$O$21</f>
        <v>11600</v>
      </c>
      <c r="Y9" s="35">
        <v>0.5</v>
      </c>
      <c r="Z9" s="5">
        <f>V9*Y9</f>
        <v>697.50500689504406</v>
      </c>
      <c r="AA9" s="5">
        <f>Z9*12</f>
        <v>8370.0600827405287</v>
      </c>
      <c r="AB9" s="1"/>
    </row>
    <row r="10" spans="1:28" s="2" customFormat="1" ht="14.25" customHeight="1" x14ac:dyDescent="0.25">
      <c r="A10" s="142"/>
      <c r="B10" s="40"/>
      <c r="C10" s="41"/>
      <c r="D10" s="41"/>
      <c r="E10" s="41"/>
      <c r="F10" s="41"/>
      <c r="G10" s="41"/>
      <c r="H10" s="41"/>
      <c r="I10" s="41"/>
      <c r="J10" s="41"/>
      <c r="K10" s="108"/>
      <c r="L10" s="41"/>
      <c r="M10" s="41"/>
      <c r="N10" s="41"/>
      <c r="O10" s="46"/>
      <c r="P10" s="46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1"/>
    </row>
    <row r="11" spans="1:28" s="2" customFormat="1" ht="14.25" customHeight="1" x14ac:dyDescent="0.25">
      <c r="A11" s="142">
        <v>4</v>
      </c>
      <c r="B11" s="19" t="s">
        <v>22</v>
      </c>
      <c r="C11" s="21">
        <f>[4]calculation!$C$39</f>
        <v>30</v>
      </c>
      <c r="D11" s="22">
        <f t="shared" si="0"/>
        <v>18</v>
      </c>
      <c r="E11" s="22">
        <f>[4]calculation!$R$37</f>
        <v>35760</v>
      </c>
      <c r="F11" s="23">
        <f>[4]calculation!$E$39</f>
        <v>0.68713731217093887</v>
      </c>
      <c r="G11" s="23">
        <f>[4]calculation!$G$39</f>
        <v>0.6</v>
      </c>
      <c r="H11" s="26">
        <f>[4]calculation!$C$40</f>
        <v>12</v>
      </c>
      <c r="I11" s="24">
        <f>[4]calculation!$S$37</f>
        <v>16282</v>
      </c>
      <c r="J11" s="25">
        <f>[4]calculation!$E$40</f>
        <v>0.31286268782906113</v>
      </c>
      <c r="K11" s="25">
        <f>[4]calculation!$G$40</f>
        <v>0.4</v>
      </c>
      <c r="L11" s="149">
        <f>[4]calculation!$G$37</f>
        <v>52042</v>
      </c>
      <c r="M11" s="5">
        <f>[4]calculation!$E$37</f>
        <v>35300.46</v>
      </c>
      <c r="N11" s="5">
        <f>[4]calculation!$C$52</f>
        <v>423605.52</v>
      </c>
      <c r="O11" s="5">
        <f>[4]calculation!$C$72</f>
        <v>154491.74119999999</v>
      </c>
      <c r="P11" s="5">
        <f>[4]calculation!$C$74</f>
        <v>269113.77880000003</v>
      </c>
      <c r="Q11" s="6">
        <f>[4]calculation!$G$73</f>
        <v>0.10764551152000001</v>
      </c>
      <c r="R11" s="6">
        <f>[4]calculation!$G$71</f>
        <v>0.18411336440513032</v>
      </c>
      <c r="S11" s="6">
        <f>[4]calculation!$G$72</f>
        <v>0.22820582332722578</v>
      </c>
      <c r="T11" s="5">
        <f>[4]calculation!$G$64*12</f>
        <v>31265.422489036086</v>
      </c>
      <c r="U11" s="51">
        <f>[4]calculation!$C$58/12</f>
        <v>2118.0275999999999</v>
      </c>
      <c r="V11" s="5">
        <f>[4]calculation!$G$67</f>
        <v>10879.377609246996</v>
      </c>
      <c r="W11" s="5">
        <f t="shared" si="1"/>
        <v>130552.53131096395</v>
      </c>
      <c r="X11" s="5">
        <f>[4]calculation!$O$37</f>
        <v>15500</v>
      </c>
      <c r="Y11" s="35">
        <v>0.44</v>
      </c>
      <c r="Z11" s="5">
        <f>V11*Y11</f>
        <v>4786.9261480686782</v>
      </c>
      <c r="AA11" s="5">
        <f>Z11*12</f>
        <v>57443.113776824139</v>
      </c>
      <c r="AB11" s="1"/>
    </row>
    <row r="12" spans="1:28" s="2" customFormat="1" ht="14.25" customHeight="1" x14ac:dyDescent="0.25">
      <c r="A12" s="142"/>
      <c r="B12" s="40"/>
      <c r="C12" s="41"/>
      <c r="D12" s="41"/>
      <c r="E12" s="41"/>
      <c r="F12" s="41"/>
      <c r="G12" s="41"/>
      <c r="H12" s="41"/>
      <c r="I12" s="41"/>
      <c r="J12" s="41"/>
      <c r="K12" s="108"/>
      <c r="L12" s="41"/>
      <c r="M12" s="41"/>
      <c r="N12" s="41"/>
      <c r="O12" s="46"/>
      <c r="P12" s="46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1"/>
    </row>
    <row r="13" spans="1:28" s="2" customFormat="1" ht="14.25" customHeight="1" x14ac:dyDescent="0.25">
      <c r="A13" s="142">
        <v>5</v>
      </c>
      <c r="B13" s="19" t="s">
        <v>23</v>
      </c>
      <c r="C13" s="21">
        <f>[5]calculation!$C$24</f>
        <v>15</v>
      </c>
      <c r="D13" s="22">
        <f t="shared" si="0"/>
        <v>13</v>
      </c>
      <c r="E13" s="22">
        <f>[5]calculation!$R$22</f>
        <v>23631</v>
      </c>
      <c r="F13" s="23">
        <f>[5]calculation!$E$24</f>
        <v>0.83670289983358703</v>
      </c>
      <c r="G13" s="23">
        <f>[5]calculation!$G$24</f>
        <v>0.8666666666666667</v>
      </c>
      <c r="H13" s="26">
        <f>[5]calculation!$C$25</f>
        <v>2</v>
      </c>
      <c r="I13" s="24">
        <f>[5]calculation!$S$22</f>
        <v>4612</v>
      </c>
      <c r="J13" s="25">
        <f>[5]calculation!$E$25</f>
        <v>0.16329710016641297</v>
      </c>
      <c r="K13" s="25">
        <f>[5]calculation!$G$25</f>
        <v>0.13333333333333333</v>
      </c>
      <c r="L13" s="149">
        <f>[5]calculation!$G$22</f>
        <v>28243</v>
      </c>
      <c r="M13" s="5">
        <f>[5]calculation!$E$22</f>
        <v>27306.61</v>
      </c>
      <c r="N13" s="5">
        <f>[5]calculation!$C$37</f>
        <v>327679.32</v>
      </c>
      <c r="O13" s="5">
        <f>[5]calculation!$C$58</f>
        <v>78306.0092</v>
      </c>
      <c r="P13" s="5">
        <f>[5]calculation!$C$60</f>
        <v>249373.31080000001</v>
      </c>
      <c r="Q13" s="6">
        <f>[5]calculation!$G$58</f>
        <v>0.10611630246808511</v>
      </c>
      <c r="R13" s="185" t="e">
        <f>[5]calculation!$G$56</f>
        <v>#DIV/0!</v>
      </c>
      <c r="S13" s="185" t="e">
        <f>[5]calculation!$G$57</f>
        <v>#DIV/0!</v>
      </c>
      <c r="T13" s="5">
        <f>[5]calculation!$G$49*12</f>
        <v>60973.274759752254</v>
      </c>
      <c r="U13" s="5">
        <f>[5]calculation!$C$44/12</f>
        <v>1638.3966</v>
      </c>
      <c r="V13" s="5">
        <f>[5]calculation!$G$52</f>
        <v>7825.003003353977</v>
      </c>
      <c r="W13" s="5">
        <f t="shared" si="1"/>
        <v>93900.036040247724</v>
      </c>
      <c r="X13" s="5">
        <f>[5]calculation!$O$22</f>
        <v>1800</v>
      </c>
      <c r="Y13" s="35">
        <v>0.5</v>
      </c>
      <c r="Z13" s="5">
        <f>V13*Y13</f>
        <v>3912.5015016769885</v>
      </c>
      <c r="AA13" s="5">
        <f>Z13*12</f>
        <v>46950.018020123862</v>
      </c>
      <c r="AB13" s="1"/>
    </row>
    <row r="14" spans="1:28" s="2" customFormat="1" ht="14.25" customHeight="1" x14ac:dyDescent="0.25">
      <c r="A14" s="142"/>
      <c r="B14" s="40"/>
      <c r="C14" s="41"/>
      <c r="D14" s="41"/>
      <c r="E14" s="41"/>
      <c r="F14" s="41"/>
      <c r="G14" s="41"/>
      <c r="H14" s="41"/>
      <c r="I14" s="41"/>
      <c r="J14" s="41"/>
      <c r="K14" s="108"/>
      <c r="L14" s="41"/>
      <c r="M14" s="41"/>
      <c r="N14" s="41"/>
      <c r="O14" s="46"/>
      <c r="P14" s="46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1"/>
    </row>
    <row r="15" spans="1:28" s="2" customFormat="1" ht="14.25" customHeight="1" x14ac:dyDescent="0.25">
      <c r="A15" s="142">
        <v>6</v>
      </c>
      <c r="B15" s="19" t="s">
        <v>24</v>
      </c>
      <c r="C15" s="21">
        <f>[6]calculation!$C$32</f>
        <v>24</v>
      </c>
      <c r="D15" s="22">
        <f t="shared" si="0"/>
        <v>12</v>
      </c>
      <c r="E15" s="22">
        <f>[6]calculation!$R$30</f>
        <v>85382</v>
      </c>
      <c r="F15" s="23">
        <f>[6]calculation!$E$32</f>
        <v>0.5636854579424444</v>
      </c>
      <c r="G15" s="23">
        <f>[6]calculation!$G$32</f>
        <v>0.5</v>
      </c>
      <c r="H15" s="26">
        <f>[6]calculation!$C$33</f>
        <v>12</v>
      </c>
      <c r="I15" s="24">
        <f>[6]calculation!$S$30</f>
        <v>66089</v>
      </c>
      <c r="J15" s="25">
        <f>[6]calculation!$E$33</f>
        <v>0.4363145420575556</v>
      </c>
      <c r="K15" s="25">
        <f>[6]calculation!$G$33</f>
        <v>0.5</v>
      </c>
      <c r="L15" s="149">
        <f>[6]calculation!$G$30</f>
        <v>151471</v>
      </c>
      <c r="M15" s="5">
        <f>[6]calculation!$E$30</f>
        <v>21156</v>
      </c>
      <c r="N15" s="5">
        <f>[6]calculation!$C$45</f>
        <v>269781</v>
      </c>
      <c r="O15" s="5">
        <f>[6]calculation!$C$65</f>
        <v>91189.9</v>
      </c>
      <c r="P15" s="5">
        <f>[6]calculation!$C$67</f>
        <v>178591.1</v>
      </c>
      <c r="Q15" s="6">
        <f>[6]calculation!$G$66</f>
        <v>8.5043380952380954E-2</v>
      </c>
      <c r="R15" s="6">
        <f>[6]calculation!$G$64</f>
        <v>0.10832031381613276</v>
      </c>
      <c r="S15" s="6">
        <f>[6]calculation!$G$65</f>
        <v>0.15952404606967222</v>
      </c>
      <c r="T15" s="5">
        <f>[6]calculation!$G$57*12</f>
        <v>28861.905351888083</v>
      </c>
      <c r="U15" s="5">
        <f>[6]calculation!$C$51/12</f>
        <v>1348.905</v>
      </c>
      <c r="V15" s="5">
        <f>[6]calculation!$G$60</f>
        <v>5088.0578873426603</v>
      </c>
      <c r="W15" s="5">
        <f t="shared" si="1"/>
        <v>61056.694648111923</v>
      </c>
      <c r="X15" s="5">
        <f>[6]calculation!$O$30</f>
        <v>14900</v>
      </c>
      <c r="Y15" s="35">
        <v>0.5</v>
      </c>
      <c r="Z15" s="5">
        <f>V15*Y15</f>
        <v>2544.0289436713301</v>
      </c>
      <c r="AA15" s="5">
        <f>Z15*12</f>
        <v>30528.347324055962</v>
      </c>
      <c r="AB15" s="1"/>
    </row>
    <row r="16" spans="1:28" s="2" customFormat="1" ht="14.25" customHeight="1" x14ac:dyDescent="0.25">
      <c r="A16" s="142"/>
      <c r="B16" s="40"/>
      <c r="C16" s="41"/>
      <c r="D16" s="41"/>
      <c r="E16" s="41"/>
      <c r="F16" s="41"/>
      <c r="G16" s="41"/>
      <c r="H16" s="41"/>
      <c r="I16" s="41"/>
      <c r="J16" s="41"/>
      <c r="K16" s="108"/>
      <c r="L16" s="41"/>
      <c r="M16" s="41"/>
      <c r="N16" s="41"/>
      <c r="O16" s="46"/>
      <c r="P16" s="46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1"/>
    </row>
    <row r="17" spans="1:28" s="2" customFormat="1" ht="14.25" customHeight="1" x14ac:dyDescent="0.25">
      <c r="A17" s="142">
        <v>7</v>
      </c>
      <c r="B17" s="19" t="s">
        <v>25</v>
      </c>
      <c r="C17" s="21">
        <f>[7]calculation!$C$36</f>
        <v>28</v>
      </c>
      <c r="D17" s="22">
        <f t="shared" si="0"/>
        <v>14</v>
      </c>
      <c r="E17" s="22">
        <f>[7]calculation!$R$34</f>
        <v>63573</v>
      </c>
      <c r="F17" s="23">
        <f>[7]calculation!$E$36</f>
        <v>0.44456643356643355</v>
      </c>
      <c r="G17" s="23">
        <f>[7]calculation!$G$36</f>
        <v>0.5</v>
      </c>
      <c r="H17" s="26">
        <f>[7]calculation!$C$37</f>
        <v>14</v>
      </c>
      <c r="I17" s="24">
        <f>[7]calculation!$S$34</f>
        <v>79427</v>
      </c>
      <c r="J17" s="25">
        <f>[7]calculation!$E$37</f>
        <v>0.55543356643356645</v>
      </c>
      <c r="K17" s="25">
        <f>[7]calculation!$G$37</f>
        <v>0.5</v>
      </c>
      <c r="L17" s="149">
        <f>[7]calculation!$G$34</f>
        <v>143000</v>
      </c>
      <c r="M17" s="5">
        <f>[7]calculation!$E$34</f>
        <v>27753</v>
      </c>
      <c r="N17" s="5">
        <f>[7]calculation!$C$49</f>
        <v>333036</v>
      </c>
      <c r="O17" s="5">
        <f>[7]calculation!$C$69</f>
        <v>114670.71999999999</v>
      </c>
      <c r="P17" s="5">
        <f>[7]calculation!$C$71</f>
        <v>218365.28000000003</v>
      </c>
      <c r="Q17" s="6">
        <f>[7]calculation!$G$70</f>
        <v>9.4941426086956535E-2</v>
      </c>
      <c r="R17" s="6">
        <f>[7]calculation!$G$68</f>
        <v>0.11143433895042536</v>
      </c>
      <c r="S17" s="6">
        <f>[7]calculation!$G$69</f>
        <v>0.13852486590450253</v>
      </c>
      <c r="T17" s="5">
        <f>[7]calculation!$G$61*12</f>
        <v>22677.209207988468</v>
      </c>
      <c r="U17" s="51">
        <f>[7]calculation!$C$55/12</f>
        <v>1665.18</v>
      </c>
      <c r="V17" s="5">
        <f>[7]calculation!$G$64</f>
        <v>7773.3808993342973</v>
      </c>
      <c r="W17" s="5">
        <f t="shared" si="1"/>
        <v>93280.570792011567</v>
      </c>
      <c r="X17" s="5">
        <f>[7]calculation!$O$34</f>
        <v>19900</v>
      </c>
      <c r="Y17" s="35">
        <v>0.49</v>
      </c>
      <c r="Z17" s="5">
        <f>V17*Y17</f>
        <v>3808.9566406738054</v>
      </c>
      <c r="AA17" s="5">
        <f>Z17*12</f>
        <v>45707.479688085667</v>
      </c>
      <c r="AB17" s="1"/>
    </row>
    <row r="18" spans="1:28" s="2" customFormat="1" ht="14.25" customHeight="1" x14ac:dyDescent="0.25">
      <c r="A18" s="142"/>
      <c r="B18" s="40"/>
      <c r="C18" s="41"/>
      <c r="D18" s="41"/>
      <c r="E18" s="41"/>
      <c r="F18" s="41"/>
      <c r="G18" s="41"/>
      <c r="H18" s="41"/>
      <c r="I18" s="41"/>
      <c r="J18" s="41"/>
      <c r="K18" s="108"/>
      <c r="L18" s="41"/>
      <c r="M18" s="41"/>
      <c r="N18" s="41"/>
      <c r="O18" s="46"/>
      <c r="P18" s="46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1"/>
    </row>
    <row r="19" spans="1:28" s="2" customFormat="1" ht="14.25" customHeight="1" x14ac:dyDescent="0.25">
      <c r="A19" s="142">
        <v>8</v>
      </c>
      <c r="B19" s="3" t="s">
        <v>26</v>
      </c>
      <c r="C19" s="21">
        <f>[8]calculation!$C$16</f>
        <v>7</v>
      </c>
      <c r="D19" s="22">
        <f t="shared" si="0"/>
        <v>7</v>
      </c>
      <c r="E19" s="22">
        <f>[8]calculation!$R$14</f>
        <v>20400</v>
      </c>
      <c r="F19" s="23">
        <f>[8]calculation!$E$16</f>
        <v>1</v>
      </c>
      <c r="G19" s="23">
        <f>[8]calculation!$G$16</f>
        <v>1</v>
      </c>
      <c r="H19" s="26">
        <f>[8]calculation!$C$17</f>
        <v>0</v>
      </c>
      <c r="I19" s="24">
        <f>[8]calculation!$G$17</f>
        <v>0</v>
      </c>
      <c r="J19" s="25">
        <f>[8]calculation!$E$17</f>
        <v>0</v>
      </c>
      <c r="K19" s="25">
        <f>[8]calculation!$G$17</f>
        <v>0</v>
      </c>
      <c r="L19" s="180">
        <f>[8]calculation!$G$14</f>
        <v>20400</v>
      </c>
      <c r="M19" s="5">
        <f>[8]calculation!$E$14</f>
        <v>19047.72</v>
      </c>
      <c r="N19" s="5">
        <f>[8]calculation!$C$29</f>
        <v>228572.64</v>
      </c>
      <c r="O19" s="5">
        <f>[8]calculation!$C$50</f>
        <v>66906.288400000005</v>
      </c>
      <c r="P19" s="5">
        <f>[8]calculation!$C$52</f>
        <v>161666.35159999999</v>
      </c>
      <c r="Q19" s="6">
        <f>[8]calculation!$G$50</f>
        <v>0.18798412976744186</v>
      </c>
      <c r="R19" s="185" t="e">
        <f>[8]calculation!$G$48</f>
        <v>#DIV/0!</v>
      </c>
      <c r="S19" s="185" t="e">
        <f>[8]calculation!$G$49</f>
        <v>#DIV/0!</v>
      </c>
      <c r="T19" s="5">
        <f>[8]calculation!$G$41*12</f>
        <v>22009.818195519274</v>
      </c>
      <c r="U19" s="5">
        <f>[8]calculation!$C$35/12</f>
        <v>1142.8632</v>
      </c>
      <c r="V19" s="5">
        <f>[8]calculation!$G$44</f>
        <v>8108.4611170400603</v>
      </c>
      <c r="W19" s="5">
        <f t="shared" si="1"/>
        <v>97301.533404480724</v>
      </c>
      <c r="X19" s="5">
        <f>[8]calculation!$O$14</f>
        <v>0</v>
      </c>
      <c r="Y19" s="35">
        <v>0.5</v>
      </c>
      <c r="Z19" s="5">
        <f>V19*Y19</f>
        <v>4054.2305585200302</v>
      </c>
      <c r="AA19" s="5">
        <f>Z19*12</f>
        <v>48650.766702240362</v>
      </c>
      <c r="AB19" s="1"/>
    </row>
    <row r="20" spans="1:28" s="2" customFormat="1" ht="14.25" customHeight="1" x14ac:dyDescent="0.25">
      <c r="A20" s="142"/>
      <c r="B20" s="40"/>
      <c r="C20" s="41"/>
      <c r="D20" s="41"/>
      <c r="E20" s="41"/>
      <c r="F20" s="41"/>
      <c r="G20" s="41"/>
      <c r="H20" s="41"/>
      <c r="I20" s="41"/>
      <c r="J20" s="41"/>
      <c r="K20" s="108"/>
      <c r="L20" s="41"/>
      <c r="M20" s="41"/>
      <c r="N20" s="41"/>
      <c r="O20" s="46"/>
      <c r="P20" s="46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1"/>
    </row>
    <row r="21" spans="1:28" s="2" customFormat="1" ht="14.25" customHeight="1" x14ac:dyDescent="0.25">
      <c r="A21" s="142">
        <v>9</v>
      </c>
      <c r="B21" s="19" t="s">
        <v>27</v>
      </c>
      <c r="C21" s="21">
        <f>[9]calculation!$C$18</f>
        <v>9</v>
      </c>
      <c r="D21" s="22">
        <f t="shared" si="0"/>
        <v>8</v>
      </c>
      <c r="E21" s="22">
        <f>[9]calculation!$R$16</f>
        <v>58291</v>
      </c>
      <c r="F21" s="23">
        <f>[9]calculation!$E$18</f>
        <v>0.92245731195898151</v>
      </c>
      <c r="G21" s="23">
        <f>[9]calculation!$G$18</f>
        <v>0.88888888888888884</v>
      </c>
      <c r="H21" s="26">
        <f>[9]calculation!$C$19</f>
        <v>1</v>
      </c>
      <c r="I21" s="24">
        <f>[9]calculation!$S$16</f>
        <v>4900</v>
      </c>
      <c r="J21" s="25">
        <f>[9]calculation!$E$19</f>
        <v>7.7542688041018493E-2</v>
      </c>
      <c r="K21" s="25">
        <f>[9]calculation!$G$19</f>
        <v>0.1111111111111111</v>
      </c>
      <c r="L21" s="149">
        <f>[9]calculation!$G$16</f>
        <v>63191</v>
      </c>
      <c r="M21" s="5">
        <f>[9]calculation!$E$16</f>
        <v>26961.1</v>
      </c>
      <c r="N21" s="5">
        <f>[9]calculation!$C$31</f>
        <v>323533.2</v>
      </c>
      <c r="O21" s="5">
        <f>[9]calculation!$C$51</f>
        <v>103546.69200000001</v>
      </c>
      <c r="P21" s="5">
        <f>[9]calculation!$C$53</f>
        <v>219986.508</v>
      </c>
      <c r="Q21" s="6">
        <f>[9]calculation!$G$52</f>
        <v>0.10231930604651163</v>
      </c>
      <c r="R21" s="185" t="e">
        <f>[9]calculation!$G$50</f>
        <v>#DIV/0!</v>
      </c>
      <c r="S21" s="185" t="e">
        <f>[9]calculation!$G$51</f>
        <v>#DIV/0!</v>
      </c>
      <c r="T21" s="5">
        <f>[9]calculation!$G$43*12</f>
        <v>60131.650412346782</v>
      </c>
      <c r="U21" s="5">
        <f>[9]calculation!$C$37/12</f>
        <v>1617.6659999999999</v>
      </c>
      <c r="V21" s="5">
        <f>[9]calculation!$G$46</f>
        <v>3859.6756323044319</v>
      </c>
      <c r="W21" s="5">
        <f t="shared" si="1"/>
        <v>46316.107587653183</v>
      </c>
      <c r="X21" s="5">
        <f>[9]calculation!$O$16</f>
        <v>2500</v>
      </c>
      <c r="Y21" s="35">
        <v>0.5</v>
      </c>
      <c r="Z21" s="5">
        <f>V21*Y21</f>
        <v>1929.837816152216</v>
      </c>
      <c r="AA21" s="5">
        <f>Z21*12</f>
        <v>23158.053793826592</v>
      </c>
      <c r="AB21" s="1"/>
    </row>
    <row r="22" spans="1:28" s="2" customFormat="1" ht="14.25" customHeight="1" x14ac:dyDescent="0.25">
      <c r="A22" s="142"/>
      <c r="B22" s="40"/>
      <c r="C22" s="41"/>
      <c r="D22" s="41"/>
      <c r="E22" s="41"/>
      <c r="F22" s="41"/>
      <c r="G22" s="41"/>
      <c r="H22" s="41"/>
      <c r="I22" s="41"/>
      <c r="J22" s="41"/>
      <c r="K22" s="108"/>
      <c r="L22" s="41"/>
      <c r="M22" s="41"/>
      <c r="N22" s="41"/>
      <c r="O22" s="46"/>
      <c r="P22" s="46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1"/>
    </row>
    <row r="23" spans="1:28" s="2" customFormat="1" ht="14.25" customHeight="1" x14ac:dyDescent="0.25">
      <c r="A23" s="142">
        <v>10</v>
      </c>
      <c r="B23" s="3" t="s">
        <v>28</v>
      </c>
      <c r="C23" s="21">
        <f>[10]calculation!$C$27</f>
        <v>17</v>
      </c>
      <c r="D23" s="22">
        <f t="shared" si="0"/>
        <v>15</v>
      </c>
      <c r="E23" s="22">
        <f>[10]calculation!$R$25</f>
        <v>133996</v>
      </c>
      <c r="F23" s="23">
        <f>[10]calculation!$E$27</f>
        <v>0.70898479870050846</v>
      </c>
      <c r="G23" s="23">
        <f>[10]calculation!$G$27</f>
        <v>0.88235294117647056</v>
      </c>
      <c r="H23" s="26">
        <f>[10]calculation!$C$28</f>
        <v>2</v>
      </c>
      <c r="I23" s="24">
        <f>[10]calculation!$S$25</f>
        <v>55001</v>
      </c>
      <c r="J23" s="25">
        <f>[10]calculation!$E$28</f>
        <v>0.29101520129949154</v>
      </c>
      <c r="K23" s="25">
        <f>[10]calculation!$G$28</f>
        <v>0.11764705882352941</v>
      </c>
      <c r="L23" s="149">
        <f>[10]calculation!$G$25</f>
        <v>188997</v>
      </c>
      <c r="M23" s="5">
        <f>[10]calculation!$E$25</f>
        <v>87276.2</v>
      </c>
      <c r="N23" s="5">
        <f>[10]calculation!$C$40</f>
        <v>1047314.4</v>
      </c>
      <c r="O23" s="5">
        <f>[10]calculation!$C$62</f>
        <v>477682.56400000001</v>
      </c>
      <c r="P23" s="5">
        <f>[10]calculation!$C$64</f>
        <v>569631.83600000001</v>
      </c>
      <c r="Q23" s="6">
        <f>[10]calculation!$G$61</f>
        <v>7.3029722564102562E-2</v>
      </c>
      <c r="R23" s="6">
        <f>[10]calculation!$G$59</f>
        <v>9.2223546891960551E-2</v>
      </c>
      <c r="S23" s="6">
        <f>[10]calculation!$G$60</f>
        <v>0.14433118208103438</v>
      </c>
      <c r="T23" s="5">
        <f>[10]calculation!$G$52*12</f>
        <v>128968.02545655731</v>
      </c>
      <c r="U23" s="51">
        <f>[10]calculation!$C$46/12</f>
        <v>5236.5720000000001</v>
      </c>
      <c r="V23" s="5">
        <f>[10]calculation!$G$55</f>
        <v>19021.34671195356</v>
      </c>
      <c r="W23" s="5">
        <f t="shared" si="1"/>
        <v>228256.1605434427</v>
      </c>
      <c r="X23" s="5">
        <f>[10]calculation!$O$25</f>
        <v>20000</v>
      </c>
      <c r="Y23" s="157">
        <v>0.46500000000000002</v>
      </c>
      <c r="Z23" s="5">
        <f>V23*Y23</f>
        <v>8844.9262210584056</v>
      </c>
      <c r="AA23" s="5">
        <f>Z23*12</f>
        <v>106139.11465270087</v>
      </c>
      <c r="AB23" s="1"/>
    </row>
    <row r="24" spans="1:28" s="2" customFormat="1" ht="14.25" customHeight="1" x14ac:dyDescent="0.25">
      <c r="A24" s="142"/>
      <c r="B24" s="40"/>
      <c r="C24" s="41"/>
      <c r="D24" s="41"/>
      <c r="E24" s="41"/>
      <c r="F24" s="41"/>
      <c r="G24" s="41"/>
      <c r="H24" s="41"/>
      <c r="I24" s="41"/>
      <c r="J24" s="41"/>
      <c r="K24" s="108"/>
      <c r="L24" s="41"/>
      <c r="M24" s="41"/>
      <c r="N24" s="41"/>
      <c r="O24" s="46"/>
      <c r="P24" s="46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1"/>
    </row>
    <row r="25" spans="1:28" s="2" customFormat="1" ht="14.25" customHeight="1" x14ac:dyDescent="0.25">
      <c r="A25" s="142">
        <v>11</v>
      </c>
      <c r="B25" s="3" t="s">
        <v>29</v>
      </c>
      <c r="C25" s="21">
        <f>[11]calculation!$C$19</f>
        <v>10</v>
      </c>
      <c r="D25" s="22">
        <f t="shared" si="0"/>
        <v>9</v>
      </c>
      <c r="E25" s="22">
        <f>[11]calculation!$R$17</f>
        <v>17000</v>
      </c>
      <c r="F25" s="23">
        <f>[11]calculation!$E$19</f>
        <v>0.91891891891891897</v>
      </c>
      <c r="G25" s="23">
        <f>[11]calculation!$G$19</f>
        <v>0.9</v>
      </c>
      <c r="H25" s="26">
        <f>[11]calculation!$C$20</f>
        <v>1</v>
      </c>
      <c r="I25" s="24">
        <f>[11]calculation!$S$17</f>
        <v>1500</v>
      </c>
      <c r="J25" s="25">
        <f>[11]calculation!$E$20</f>
        <v>8.108108108108103E-2</v>
      </c>
      <c r="K25" s="25">
        <f>[11]calculation!$G$20</f>
        <v>0.1</v>
      </c>
      <c r="L25" s="149">
        <f>[11]calculation!$G$17</f>
        <v>18500</v>
      </c>
      <c r="M25" s="5">
        <f>[11]calculation!$E$17</f>
        <v>12510</v>
      </c>
      <c r="N25" s="5">
        <f>[11]calculation!$C$32</f>
        <v>150120</v>
      </c>
      <c r="O25" s="5">
        <f>[11]calculation!$C$52</f>
        <v>42972.67</v>
      </c>
      <c r="P25" s="5">
        <f>[11]calculation!$C$54</f>
        <v>107147.33</v>
      </c>
      <c r="Q25" s="6">
        <f>[11]calculation!$G$53</f>
        <v>0.10204507619047619</v>
      </c>
      <c r="R25" s="6">
        <f>[11]calculation!$G$51</f>
        <v>0.55927697740129245</v>
      </c>
      <c r="S25" s="6">
        <f>[11]calculation!$G$52</f>
        <v>0.87351713917525808</v>
      </c>
      <c r="T25" s="5">
        <f>[11]calculation!$G$44*12</f>
        <v>24385.036553659724</v>
      </c>
      <c r="U25" s="5">
        <f>[11]calculation!$C$38/12</f>
        <v>750.59999999999991</v>
      </c>
      <c r="V25" s="5">
        <f>[11]calculation!$G$47</f>
        <v>3616.6577871950221</v>
      </c>
      <c r="W25" s="5">
        <f t="shared" si="1"/>
        <v>43399.893446340269</v>
      </c>
      <c r="X25" s="5">
        <f>[11]calculation!$O$17</f>
        <v>1200</v>
      </c>
      <c r="Y25" s="35">
        <v>0.5</v>
      </c>
      <c r="Z25" s="5">
        <f>V25*Y25</f>
        <v>1808.3288935975111</v>
      </c>
      <c r="AA25" s="5">
        <f>Z25*12</f>
        <v>21699.946723170135</v>
      </c>
      <c r="AB25" s="1"/>
    </row>
    <row r="26" spans="1:28" s="2" customFormat="1" ht="14.25" customHeight="1" x14ac:dyDescent="0.25">
      <c r="A26" s="142"/>
      <c r="B26" s="40"/>
      <c r="C26" s="41"/>
      <c r="D26" s="41"/>
      <c r="E26" s="41"/>
      <c r="F26" s="41"/>
      <c r="G26" s="41"/>
      <c r="H26" s="41"/>
      <c r="I26" s="41"/>
      <c r="J26" s="41"/>
      <c r="K26" s="108"/>
      <c r="L26" s="41"/>
      <c r="M26" s="41"/>
      <c r="N26" s="41"/>
      <c r="O26" s="46"/>
      <c r="P26" s="46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1"/>
    </row>
    <row r="27" spans="1:28" s="2" customFormat="1" ht="14.25" customHeight="1" x14ac:dyDescent="0.25">
      <c r="A27" s="142">
        <v>12</v>
      </c>
      <c r="B27" s="146" t="s">
        <v>30</v>
      </c>
      <c r="C27" s="21">
        <f>[12]calculation!$C$44</f>
        <v>36</v>
      </c>
      <c r="D27" s="22">
        <f t="shared" si="0"/>
        <v>30</v>
      </c>
      <c r="E27" s="22">
        <f>[12]calculation!$R$42</f>
        <v>92341</v>
      </c>
      <c r="F27" s="23">
        <f>[12]calculation!$E$44</f>
        <v>0.81767628020649774</v>
      </c>
      <c r="G27" s="23">
        <f>[12]calculation!$G$44</f>
        <v>0.83333333333333337</v>
      </c>
      <c r="H27" s="26">
        <f>[12]calculation!$C$45</f>
        <v>6</v>
      </c>
      <c r="I27" s="24">
        <f>[12]calculation!$S$42</f>
        <v>20590</v>
      </c>
      <c r="J27" s="25">
        <f>[12]calculation!$E$45</f>
        <v>0.18232371979350226</v>
      </c>
      <c r="K27" s="25">
        <f>[12]calculation!$G$45</f>
        <v>0.16666666666666666</v>
      </c>
      <c r="L27" s="149">
        <f>[12]calculation!$G$42</f>
        <v>112931</v>
      </c>
      <c r="M27" s="5">
        <f>[12]calculation!$E$42</f>
        <v>51238.240000000005</v>
      </c>
      <c r="N27" s="5">
        <f>[12]calculation!$C$57</f>
        <v>614858.88</v>
      </c>
      <c r="O27" s="5">
        <f>[12]calculation!$C$78</f>
        <v>255598.27280000001</v>
      </c>
      <c r="P27" s="5">
        <f>[12]calculation!$C$80</f>
        <v>359260.60719999997</v>
      </c>
      <c r="Q27" s="6">
        <f>[12]calculation!$G$78</f>
        <v>0.123882968</v>
      </c>
      <c r="R27" s="6">
        <f>[12]calculation!$G$76</f>
        <v>0.38841466691323967</v>
      </c>
      <c r="S27" s="6">
        <f>[12]calculation!$G$77</f>
        <v>0.54800425705618272</v>
      </c>
      <c r="T27" s="5">
        <f>[12]calculation!$G$69*12</f>
        <v>44996.375260531349</v>
      </c>
      <c r="U27" s="5">
        <f>[12]calculation!$C$63/12</f>
        <v>3074.2944000000002</v>
      </c>
      <c r="V27" s="5">
        <f>[12]calculation!$G$72</f>
        <v>9126.1445966223873</v>
      </c>
      <c r="W27" s="5">
        <f t="shared" si="1"/>
        <v>109513.73515946865</v>
      </c>
      <c r="X27" s="5">
        <f>[12]calculation!$O$42</f>
        <v>5750</v>
      </c>
      <c r="Y27" s="35">
        <v>0.5</v>
      </c>
      <c r="Z27" s="5">
        <f>V27*Y27</f>
        <v>4563.0722983111937</v>
      </c>
      <c r="AA27" s="5">
        <f>Z27*12</f>
        <v>54756.867579734324</v>
      </c>
      <c r="AB27" s="1"/>
    </row>
    <row r="28" spans="1:28" s="2" customFormat="1" ht="14.25" customHeight="1" x14ac:dyDescent="0.25">
      <c r="A28" s="142"/>
      <c r="B28" s="40"/>
      <c r="C28" s="41"/>
      <c r="D28" s="41"/>
      <c r="E28" s="41"/>
      <c r="F28" s="41"/>
      <c r="G28" s="41"/>
      <c r="H28" s="41"/>
      <c r="I28" s="41"/>
      <c r="J28" s="41"/>
      <c r="K28" s="108"/>
      <c r="L28" s="41"/>
      <c r="M28" s="41"/>
      <c r="N28" s="41"/>
      <c r="O28" s="46"/>
      <c r="P28" s="46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1"/>
    </row>
    <row r="29" spans="1:28" s="2" customFormat="1" ht="14.25" customHeight="1" x14ac:dyDescent="0.25">
      <c r="A29" s="142">
        <v>13</v>
      </c>
      <c r="B29" s="30" t="s">
        <v>32</v>
      </c>
      <c r="C29" s="21">
        <f>[13]calculation!$C$33</f>
        <v>25</v>
      </c>
      <c r="D29" s="22">
        <f t="shared" si="0"/>
        <v>24</v>
      </c>
      <c r="E29" s="22">
        <f>[13]calculation!$R$31</f>
        <v>118597</v>
      </c>
      <c r="F29" s="23">
        <f>[13]calculation!$E$33</f>
        <v>1</v>
      </c>
      <c r="G29" s="23">
        <f>[13]calculation!$G$33</f>
        <v>0.96</v>
      </c>
      <c r="H29" s="26">
        <f>[13]calculation!$C$34</f>
        <v>1</v>
      </c>
      <c r="I29" s="24">
        <f>[13]calculation!$S$31</f>
        <v>0</v>
      </c>
      <c r="J29" s="25">
        <f>[13]calculation!$E$34</f>
        <v>0</v>
      </c>
      <c r="K29" s="25">
        <f>[13]calculation!$G$34</f>
        <v>0.04</v>
      </c>
      <c r="L29" s="149">
        <f>[13]calculation!$G$31</f>
        <v>118597</v>
      </c>
      <c r="M29" s="5">
        <f>[13]calculation!$E$31</f>
        <v>59888.689999999995</v>
      </c>
      <c r="N29" s="5">
        <f>[13]calculation!$C$46</f>
        <v>718664.27999999991</v>
      </c>
      <c r="O29" s="5">
        <f>[13]calculation!$C$67</f>
        <v>199736.19679999998</v>
      </c>
      <c r="P29" s="5">
        <f>[13]calculation!$C$69</f>
        <v>518928.08319999994</v>
      </c>
      <c r="Q29" s="6">
        <f>[13]calculation!$G$67</f>
        <v>0.13305848287179486</v>
      </c>
      <c r="R29" s="6">
        <f>[13]calculation!$G$65</f>
        <v>0.40415740205217271</v>
      </c>
      <c r="S29" s="6">
        <f>[13]calculation!$G$66</f>
        <v>0.47399652505406692</v>
      </c>
      <c r="T29" s="5">
        <f>[13]calculation!$G$58*12</f>
        <v>40010.903406908212</v>
      </c>
      <c r="U29" s="5">
        <f>[13]calculation!$C$52/12</f>
        <v>3593.3213999999994</v>
      </c>
      <c r="V29" s="5">
        <f>[13]calculation!$G$61</f>
        <v>19295.181649424314</v>
      </c>
      <c r="W29" s="5">
        <f t="shared" si="1"/>
        <v>231542.17979309178</v>
      </c>
      <c r="X29" s="5">
        <f>[13]calculation!$O$31</f>
        <v>0</v>
      </c>
      <c r="Y29" s="35">
        <v>0.5</v>
      </c>
      <c r="Z29" s="5">
        <f>V29*Y29</f>
        <v>9647.590824712157</v>
      </c>
      <c r="AA29" s="5">
        <f>Z29*12</f>
        <v>115771.08989654589</v>
      </c>
      <c r="AB29" s="1"/>
    </row>
    <row r="30" spans="1:28" s="2" customFormat="1" ht="14.25" customHeight="1" x14ac:dyDescent="0.25">
      <c r="A30" s="142"/>
      <c r="B30" s="40"/>
      <c r="C30" s="41"/>
      <c r="D30" s="41"/>
      <c r="E30" s="41"/>
      <c r="F30" s="41"/>
      <c r="G30" s="41"/>
      <c r="H30" s="41"/>
      <c r="I30" s="41"/>
      <c r="J30" s="41"/>
      <c r="K30" s="108"/>
      <c r="L30" s="41"/>
      <c r="M30" s="41"/>
      <c r="N30" s="41"/>
      <c r="O30" s="46"/>
      <c r="P30" s="46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1"/>
    </row>
    <row r="31" spans="1:28" s="2" customFormat="1" ht="14.25" customHeight="1" x14ac:dyDescent="0.25">
      <c r="A31" s="142">
        <v>14</v>
      </c>
      <c r="B31" s="19" t="s">
        <v>112</v>
      </c>
      <c r="C31" s="21">
        <f>[14]calculation!$C$32</f>
        <v>24</v>
      </c>
      <c r="D31" s="22">
        <f t="shared" si="0"/>
        <v>24</v>
      </c>
      <c r="E31" s="22">
        <f>[14]calculation!$R$30</f>
        <v>164278</v>
      </c>
      <c r="F31" s="23">
        <f>[14]calculation!$E$32</f>
        <v>0.99873545468915292</v>
      </c>
      <c r="G31" s="23">
        <f>[14]calculation!$G$32</f>
        <v>1</v>
      </c>
      <c r="H31" s="26">
        <f>[14]calculation!$C$33</f>
        <v>0</v>
      </c>
      <c r="I31" s="24">
        <f>[14]calculation!$S$30</f>
        <v>208</v>
      </c>
      <c r="J31" s="25">
        <f>[14]calculation!$E$33</f>
        <v>1.2645453108470761E-3</v>
      </c>
      <c r="K31" s="25">
        <f>[14]calculation!$G$33</f>
        <v>0</v>
      </c>
      <c r="L31" s="149">
        <f>[14]calculation!$G$30</f>
        <v>164486</v>
      </c>
      <c r="M31" s="5">
        <f>[14]calculation!$E$30</f>
        <v>108639.39000000001</v>
      </c>
      <c r="N31" s="5">
        <f>[14]calculation!$C$45</f>
        <v>1303672.68</v>
      </c>
      <c r="O31" s="5">
        <f>[14]calculation!$C$65</f>
        <v>459554.89079999999</v>
      </c>
      <c r="P31" s="5">
        <f>[14]calculation!$C$67</f>
        <v>844117.7892</v>
      </c>
      <c r="Q31" s="6">
        <f>[14]calculation!$G$66</f>
        <v>8.8854504126315792E-2</v>
      </c>
      <c r="R31" s="6">
        <f>[14]calculation!$G$64</f>
        <v>0.10147428622026335</v>
      </c>
      <c r="S31" s="6">
        <f>[14]calculation!$G$65</f>
        <v>0.15647225730620823</v>
      </c>
      <c r="T31" s="5">
        <f>[14]calculation!$G$57*12</f>
        <v>114675.38569390832</v>
      </c>
      <c r="U31" s="51">
        <f>[14]calculation!$C$51/12</f>
        <v>6518.3633999999993</v>
      </c>
      <c r="V31" s="5">
        <f>[14]calculation!$G$60</f>
        <v>17631.866958840961</v>
      </c>
      <c r="W31" s="5">
        <f t="shared" si="1"/>
        <v>211582.40350609153</v>
      </c>
      <c r="X31" s="5">
        <v>0</v>
      </c>
      <c r="Y31" s="35">
        <v>0.49</v>
      </c>
      <c r="Z31" s="5">
        <f>V31*Y31</f>
        <v>8639.61480983207</v>
      </c>
      <c r="AA31" s="5">
        <f>Z31*12</f>
        <v>103675.37771798484</v>
      </c>
      <c r="AB31" s="1"/>
    </row>
    <row r="32" spans="1:28" s="2" customFormat="1" ht="14.25" customHeight="1" x14ac:dyDescent="0.25">
      <c r="A32" s="142"/>
      <c r="B32" s="40"/>
      <c r="C32" s="41"/>
      <c r="D32" s="41"/>
      <c r="E32" s="41"/>
      <c r="F32" s="41"/>
      <c r="G32" s="41"/>
      <c r="H32" s="41"/>
      <c r="I32" s="41"/>
      <c r="J32" s="41"/>
      <c r="K32" s="108"/>
      <c r="L32" s="41"/>
      <c r="M32" s="41"/>
      <c r="N32" s="41"/>
      <c r="O32" s="46"/>
      <c r="P32" s="46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1"/>
    </row>
    <row r="33" spans="1:28" s="2" customFormat="1" ht="14.25" customHeight="1" thickBot="1" x14ac:dyDescent="0.3">
      <c r="A33" s="142">
        <v>15</v>
      </c>
      <c r="B33" s="147" t="s">
        <v>140</v>
      </c>
      <c r="C33" s="78">
        <f>[15]calculation!$C$28</f>
        <v>20</v>
      </c>
      <c r="D33" s="79">
        <f t="shared" si="0"/>
        <v>18</v>
      </c>
      <c r="E33" s="79">
        <f>[15]calculation!$R$26</f>
        <v>184259</v>
      </c>
      <c r="F33" s="80">
        <f>[15]calculation!$E$28</f>
        <v>0.97667749749548127</v>
      </c>
      <c r="G33" s="80">
        <f>[15]calculation!$G$28</f>
        <v>0.9</v>
      </c>
      <c r="H33" s="81">
        <f>[15]calculation!$C$29</f>
        <v>2</v>
      </c>
      <c r="I33" s="153">
        <f>[15]calculation!$S$26</f>
        <v>4400</v>
      </c>
      <c r="J33" s="82">
        <f>[15]calculation!$E$29</f>
        <v>2.3322502504518727E-2</v>
      </c>
      <c r="K33" s="82">
        <f>[15]calculation!$G$29</f>
        <v>0.1</v>
      </c>
      <c r="L33" s="150">
        <f>[15]calculation!$G$26</f>
        <v>188659</v>
      </c>
      <c r="M33" s="28">
        <f>[15]calculation!$D$26</f>
        <v>7601</v>
      </c>
      <c r="N33" s="28">
        <f>[15]calculation!$C$41</f>
        <v>1253462.3999999999</v>
      </c>
      <c r="O33" s="28">
        <f>[15]calculation!$C$62</f>
        <v>367521.89399999997</v>
      </c>
      <c r="P33" s="28">
        <f>[15]calculation!$C$64</f>
        <v>885940.50599999994</v>
      </c>
      <c r="Q33" s="91">
        <f>[15]calculation!$G$62</f>
        <v>0.13842820406249998</v>
      </c>
      <c r="R33" s="91">
        <f>[15]calculation!$G$60</f>
        <v>0.47499096610915487</v>
      </c>
      <c r="S33" s="91">
        <f>[15]calculation!$G$61</f>
        <v>0.47499096610915487</v>
      </c>
      <c r="T33" s="28">
        <f>[15]calculation!$G$53*12</f>
        <v>0</v>
      </c>
      <c r="U33" s="28">
        <f>[15]calculation!$C$47/12</f>
        <v>6267.311999999999</v>
      </c>
      <c r="V33" s="28">
        <f>[15]calculation!$G$56</f>
        <v>50361.708833333323</v>
      </c>
      <c r="W33" s="28">
        <f t="shared" si="1"/>
        <v>604340.50599999982</v>
      </c>
      <c r="X33" s="28">
        <f>[15]calculation!$O$26</f>
        <v>3200</v>
      </c>
      <c r="Y33" s="98">
        <v>0.5</v>
      </c>
      <c r="Z33" s="28">
        <f>V33*Y33</f>
        <v>25180.854416666662</v>
      </c>
      <c r="AA33" s="28">
        <f>Z33*12</f>
        <v>302170.25299999991</v>
      </c>
      <c r="AB33" s="1"/>
    </row>
    <row r="34" spans="1:28" ht="14.25" customHeight="1" thickTop="1" x14ac:dyDescent="0.25">
      <c r="B34" s="14" t="s">
        <v>8</v>
      </c>
      <c r="C34" s="15">
        <f>SUM(C5:C33)</f>
        <v>305</v>
      </c>
      <c r="D34" s="15">
        <f>SUM(D5:D33)</f>
        <v>232</v>
      </c>
      <c r="E34" s="17">
        <f>SUM(E5:E33)</f>
        <v>1200783</v>
      </c>
      <c r="F34" s="97">
        <f>AVERAGE(F5:F33)</f>
        <v>0.76958172404008673</v>
      </c>
      <c r="G34" s="97">
        <f>AVERAGE(G5:G33)</f>
        <v>0.79069938946153795</v>
      </c>
      <c r="H34" s="15">
        <f>SUM(H5:H33)</f>
        <v>73</v>
      </c>
      <c r="I34" s="17">
        <f>SUM(I5:I33)</f>
        <v>460895</v>
      </c>
      <c r="J34" s="97">
        <f>AVERAGE(J5:J33)</f>
        <v>0.23041827595991352</v>
      </c>
      <c r="K34" s="97">
        <f>AVERAGE(K5:K33)</f>
        <v>0.20930061053846222</v>
      </c>
      <c r="L34" s="17">
        <f>SUM(L5:L33)</f>
        <v>1661678</v>
      </c>
      <c r="M34" s="34">
        <f>SUM(M5:M33)</f>
        <v>581506.41</v>
      </c>
      <c r="N34" s="34">
        <f>SUM(N5:N33)</f>
        <v>8156236.3200000003</v>
      </c>
      <c r="O34" s="34">
        <f>SUM(O5:O33)</f>
        <v>2765498.4992</v>
      </c>
      <c r="P34" s="34">
        <f>SUM(P5:P33)</f>
        <v>5390737.8207999999</v>
      </c>
      <c r="Q34" s="97">
        <f>AVERAGE(Q5:Q33)</f>
        <v>0.10171691367174306</v>
      </c>
      <c r="R34" s="97">
        <f>AVEDEV(R23:R33,R17,R15,R5:R11)</f>
        <v>0.17061000925424999</v>
      </c>
      <c r="S34" s="97">
        <f>AVEDEV(S23:S33,S17,S15,S5:S11)</f>
        <v>0.20622335284796031</v>
      </c>
      <c r="T34" s="34">
        <f>SUM(T5:T33)</f>
        <v>830311.6052800602</v>
      </c>
      <c r="U34" s="174">
        <f>U33+U29+U27+U25+U21+U19+U15+U13+U9+U7+U5</f>
        <v>25243.0386</v>
      </c>
      <c r="V34" s="37">
        <f>SUM(V5:V33)</f>
        <v>179954.25781166164</v>
      </c>
      <c r="W34" s="37">
        <f>SUM(W5:W33)</f>
        <v>2159451.0937399389</v>
      </c>
      <c r="X34" s="34">
        <f>SUM(X5:X33)</f>
        <v>132850</v>
      </c>
      <c r="Y34" s="97">
        <f>AVERAGE(Y5:Y33)</f>
        <v>0.48899999999999999</v>
      </c>
      <c r="Z34" s="37">
        <f>SUM(Z5:Z33)</f>
        <v>88754.971850965347</v>
      </c>
      <c r="AA34" s="37">
        <f>SUM(AA5:AA33)</f>
        <v>1065059.6622115839</v>
      </c>
    </row>
    <row r="35" spans="1:28" ht="14.25" customHeight="1" x14ac:dyDescent="0.25">
      <c r="C35" s="8"/>
      <c r="D35" s="8"/>
      <c r="E35" s="8"/>
      <c r="F35" s="8" t="s">
        <v>9</v>
      </c>
      <c r="G35" s="8" t="s">
        <v>9</v>
      </c>
      <c r="H35" s="8"/>
      <c r="I35" s="8"/>
      <c r="J35" s="8" t="s">
        <v>9</v>
      </c>
      <c r="K35" s="8" t="s">
        <v>9</v>
      </c>
      <c r="L35" s="8"/>
      <c r="M35" s="8"/>
      <c r="N35" s="8"/>
      <c r="O35" s="8"/>
      <c r="P35" s="8"/>
      <c r="Q35" s="8" t="s">
        <v>9</v>
      </c>
      <c r="R35" s="8" t="s">
        <v>9</v>
      </c>
      <c r="S35" s="8" t="s">
        <v>9</v>
      </c>
      <c r="Y35" s="8" t="s">
        <v>9</v>
      </c>
    </row>
    <row r="36" spans="1:28" ht="14.25" customHeight="1" x14ac:dyDescent="0.25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28" ht="14.25" customHeight="1" x14ac:dyDescent="0.25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28" s="11" customFormat="1" ht="48" customHeight="1" x14ac:dyDescent="0.25">
      <c r="A38" s="9"/>
      <c r="B38" s="10" t="s">
        <v>186</v>
      </c>
      <c r="C38" s="9" t="s">
        <v>0</v>
      </c>
      <c r="D38" s="9" t="s">
        <v>14</v>
      </c>
      <c r="E38" s="9" t="s">
        <v>15</v>
      </c>
      <c r="F38" s="9" t="s">
        <v>34</v>
      </c>
      <c r="G38" s="9" t="s">
        <v>35</v>
      </c>
      <c r="H38" s="9" t="s">
        <v>16</v>
      </c>
      <c r="I38" s="9" t="s">
        <v>17</v>
      </c>
      <c r="J38" s="9" t="s">
        <v>36</v>
      </c>
      <c r="K38" s="9" t="s">
        <v>37</v>
      </c>
      <c r="L38" s="9" t="s">
        <v>31</v>
      </c>
      <c r="M38" s="9" t="s">
        <v>1</v>
      </c>
      <c r="N38" s="9" t="s">
        <v>2</v>
      </c>
      <c r="O38" s="9" t="s">
        <v>12</v>
      </c>
      <c r="P38" s="9" t="s">
        <v>3</v>
      </c>
      <c r="Q38" s="9" t="s">
        <v>6</v>
      </c>
      <c r="R38" s="9" t="s">
        <v>7</v>
      </c>
      <c r="S38" s="9" t="s">
        <v>13</v>
      </c>
      <c r="T38" s="9" t="s">
        <v>146</v>
      </c>
      <c r="U38" s="9" t="s">
        <v>179</v>
      </c>
      <c r="V38" s="9" t="s">
        <v>38</v>
      </c>
      <c r="W38" s="9" t="s">
        <v>39</v>
      </c>
      <c r="X38" s="9" t="s">
        <v>18</v>
      </c>
      <c r="Y38" s="9" t="s">
        <v>187</v>
      </c>
      <c r="Z38" s="9" t="s">
        <v>188</v>
      </c>
      <c r="AA38" s="9" t="s">
        <v>189</v>
      </c>
      <c r="AB38" s="1"/>
    </row>
    <row r="39" spans="1:28" s="2" customFormat="1" ht="14.25" customHeight="1" x14ac:dyDescent="0.25">
      <c r="A39" s="142">
        <v>1</v>
      </c>
      <c r="B39" s="151" t="s">
        <v>153</v>
      </c>
      <c r="C39" s="21">
        <f>[16]calculation!$C$25</f>
        <v>10</v>
      </c>
      <c r="D39" s="22">
        <f t="shared" ref="D39" si="2">C39-H39</f>
        <v>6</v>
      </c>
      <c r="E39" s="22">
        <f>[16]calculation!$R$23</f>
        <v>107699</v>
      </c>
      <c r="F39" s="23">
        <f>[16]calculation!$E$25</f>
        <v>0.7860667104590906</v>
      </c>
      <c r="G39" s="23">
        <f>[16]calculation!$G$25</f>
        <v>0.6</v>
      </c>
      <c r="H39" s="26">
        <f>[16]calculation!$C$26</f>
        <v>4</v>
      </c>
      <c r="I39" s="24">
        <f>[16]calculation!$S$23</f>
        <v>29311</v>
      </c>
      <c r="J39" s="25">
        <f>[16]calculation!$E$26</f>
        <v>0.2139332895409094</v>
      </c>
      <c r="K39" s="25">
        <f>[16]calculation!$G$26</f>
        <v>0.4</v>
      </c>
      <c r="L39" s="149">
        <f>[16]calculation!$G$23</f>
        <v>137010</v>
      </c>
      <c r="M39" s="5">
        <f>[16]calculation!$E$23</f>
        <v>45703.19</v>
      </c>
      <c r="N39" s="5">
        <f>[16]calculation!$C$38</f>
        <v>548438.28</v>
      </c>
      <c r="O39" s="5">
        <f>[16]calculation!$C$58</f>
        <v>157424.54680000001</v>
      </c>
      <c r="P39" s="5">
        <f>[16]calculation!$C$60</f>
        <v>391013.73320000002</v>
      </c>
      <c r="Q39" s="6">
        <f>[16]calculation!$G$61</f>
        <v>0.11500403917647059</v>
      </c>
      <c r="R39" s="6">
        <f>[16]calculation!$G$59</f>
        <v>0.27809133334129915</v>
      </c>
      <c r="S39" s="6">
        <f>[16]calculation!$G$60</f>
        <v>0.35361721123516049</v>
      </c>
      <c r="T39" s="5">
        <f>[16]calculation!$G$50*12</f>
        <v>43146.272471449302</v>
      </c>
      <c r="U39" s="5">
        <f>[16]calculation!$C$44/12</f>
        <v>2742.1914000000002</v>
      </c>
      <c r="V39" s="5">
        <f>[16]calculation!$G$53</f>
        <v>13238.95506071256</v>
      </c>
      <c r="W39" s="5">
        <f t="shared" ref="W39" si="3">V39*12</f>
        <v>158867.46072855074</v>
      </c>
      <c r="X39" s="5">
        <f>[16]calculation!$O$23</f>
        <v>14000</v>
      </c>
      <c r="Y39" s="35">
        <v>0.91</v>
      </c>
      <c r="Z39" s="184">
        <f>[16]calculation!$G$55</f>
        <v>10996.455060712562</v>
      </c>
      <c r="AA39" s="5">
        <f>Z39*12</f>
        <v>131957.46072855074</v>
      </c>
      <c r="AB39" s="1"/>
    </row>
    <row r="40" spans="1:28" s="2" customFormat="1" ht="14.25" customHeight="1" x14ac:dyDescent="0.25">
      <c r="A40" s="142"/>
      <c r="B40" s="40"/>
      <c r="C40" s="41"/>
      <c r="D40" s="41"/>
      <c r="E40" s="41"/>
      <c r="F40" s="41"/>
      <c r="G40" s="41"/>
      <c r="H40" s="41"/>
      <c r="I40" s="41"/>
      <c r="J40" s="41"/>
      <c r="K40" s="108"/>
      <c r="L40" s="41"/>
      <c r="M40" s="41"/>
      <c r="N40" s="41"/>
      <c r="O40" s="46"/>
      <c r="P40" s="46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1"/>
    </row>
    <row r="41" spans="1:28" s="2" customFormat="1" ht="14.25" customHeight="1" x14ac:dyDescent="0.25">
      <c r="A41" s="142">
        <v>2</v>
      </c>
      <c r="B41" s="172" t="s">
        <v>185</v>
      </c>
      <c r="C41" s="21">
        <f>[17]calculation!$C$22</f>
        <v>14</v>
      </c>
      <c r="D41" s="22">
        <f t="shared" ref="D41" si="4">C41-H41</f>
        <v>13</v>
      </c>
      <c r="E41" s="22">
        <f>[17]calculation!$R$20</f>
        <v>93075</v>
      </c>
      <c r="F41" s="23">
        <f>[17]calculation!$E$22</f>
        <v>0.95879474633015704</v>
      </c>
      <c r="G41" s="23">
        <f>[17]calculation!$G$22</f>
        <v>0.9285714285714286</v>
      </c>
      <c r="H41" s="26">
        <f>[17]calculation!$C$23</f>
        <v>1</v>
      </c>
      <c r="I41" s="24">
        <f>[17]calculation!$S$20</f>
        <v>4000</v>
      </c>
      <c r="J41" s="25">
        <f>[17]calculation!$E$23</f>
        <v>4.1205253669842956E-2</v>
      </c>
      <c r="K41" s="25">
        <f>[17]calculation!$G$23</f>
        <v>7.1428571428571425E-2</v>
      </c>
      <c r="L41" s="149">
        <f>[17]calculation!$G$20</f>
        <v>97075</v>
      </c>
      <c r="M41" s="5">
        <f>[17]calculation!$E$20</f>
        <v>34117.659999999996</v>
      </c>
      <c r="N41" s="5">
        <f>[17]calculation!$C$35</f>
        <v>443411.92</v>
      </c>
      <c r="O41" s="5">
        <f>[17]calculation!$C$55</f>
        <v>96523.8652</v>
      </c>
      <c r="P41" s="5">
        <f>[17]calculation!$C$57</f>
        <v>346888.05479999998</v>
      </c>
      <c r="Q41" s="6">
        <f>[17]calculation!$G$56</f>
        <v>0.10202589847058822</v>
      </c>
      <c r="R41" s="6">
        <f>[17]calculation!$G$54</f>
        <v>0.1978454333549903</v>
      </c>
      <c r="S41" s="6">
        <f>[17]calculation!$G$55</f>
        <v>0.27576202106308767</v>
      </c>
      <c r="T41" s="5">
        <f>[17]calculation!$G$47*12</f>
        <v>45670.84918089275</v>
      </c>
      <c r="U41" s="5">
        <f>[17]calculation!$C$41/12</f>
        <v>2217.0596</v>
      </c>
      <c r="V41" s="5">
        <f>[17]calculation!$G$50</f>
        <v>9663.9338015922694</v>
      </c>
      <c r="W41" s="5">
        <f t="shared" ref="W41" si="5">V41*12</f>
        <v>115967.20561910723</v>
      </c>
      <c r="X41" s="5">
        <f>[17]calculation!$O$20</f>
        <v>1800</v>
      </c>
      <c r="Y41" s="35">
        <v>1</v>
      </c>
      <c r="Z41" s="5">
        <f>V41*Y41</f>
        <v>9663.9338015922694</v>
      </c>
      <c r="AA41" s="5">
        <f>Z41*12</f>
        <v>115967.20561910723</v>
      </c>
      <c r="AB41" s="1"/>
    </row>
    <row r="42" spans="1:28" s="2" customFormat="1" ht="14.25" customHeight="1" x14ac:dyDescent="0.25">
      <c r="A42" s="142"/>
      <c r="B42" s="40"/>
      <c r="C42" s="41"/>
      <c r="D42" s="41"/>
      <c r="E42" s="41"/>
      <c r="F42" s="41"/>
      <c r="G42" s="41"/>
      <c r="H42" s="41"/>
      <c r="I42" s="41"/>
      <c r="J42" s="41"/>
      <c r="K42" s="108"/>
      <c r="L42" s="41"/>
      <c r="M42" s="41"/>
      <c r="N42" s="41"/>
      <c r="O42" s="46"/>
      <c r="P42" s="46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1"/>
    </row>
    <row r="43" spans="1:28" s="2" customFormat="1" ht="14.25" customHeight="1" x14ac:dyDescent="0.25">
      <c r="A43" s="142">
        <v>3</v>
      </c>
      <c r="B43" s="19"/>
      <c r="C43" s="21"/>
      <c r="D43" s="22"/>
      <c r="E43" s="22"/>
      <c r="F43" s="23"/>
      <c r="G43" s="23"/>
      <c r="H43" s="26"/>
      <c r="I43" s="24"/>
      <c r="J43" s="25"/>
      <c r="K43" s="25"/>
      <c r="L43" s="100"/>
      <c r="M43" s="100"/>
      <c r="N43" s="100"/>
      <c r="O43" s="100"/>
      <c r="P43" s="100"/>
      <c r="Q43" s="6"/>
      <c r="R43" s="6"/>
      <c r="S43" s="6"/>
      <c r="T43" s="6"/>
      <c r="U43" s="6"/>
      <c r="V43" s="5"/>
      <c r="W43" s="5"/>
      <c r="X43" s="148"/>
      <c r="Y43" s="1"/>
      <c r="Z43" s="1"/>
      <c r="AA43" s="1"/>
      <c r="AB43" s="1"/>
    </row>
    <row r="44" spans="1:28" s="2" customFormat="1" ht="14.25" customHeight="1" x14ac:dyDescent="0.25">
      <c r="A44" s="142"/>
      <c r="B44" s="40"/>
      <c r="C44" s="41"/>
      <c r="D44" s="41"/>
      <c r="E44" s="41"/>
      <c r="F44" s="41"/>
      <c r="G44" s="41"/>
      <c r="H44" s="41"/>
      <c r="I44" s="41"/>
      <c r="J44" s="41"/>
      <c r="K44" s="108"/>
      <c r="L44" s="41"/>
      <c r="M44" s="41"/>
      <c r="N44" s="41"/>
      <c r="O44" s="46"/>
      <c r="P44" s="46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1"/>
    </row>
    <row r="45" spans="1:28" s="2" customFormat="1" ht="14.25" customHeight="1" x14ac:dyDescent="0.25">
      <c r="A45" s="142">
        <v>4</v>
      </c>
      <c r="B45" s="19"/>
      <c r="C45" s="21"/>
      <c r="D45" s="22"/>
      <c r="E45" s="22"/>
      <c r="F45" s="23"/>
      <c r="G45" s="23"/>
      <c r="H45" s="26"/>
      <c r="I45" s="24"/>
      <c r="J45" s="25"/>
      <c r="K45" s="25"/>
      <c r="L45" s="100"/>
      <c r="M45" s="100"/>
      <c r="N45" s="100"/>
      <c r="O45" s="100"/>
      <c r="P45" s="100"/>
      <c r="Q45" s="6"/>
      <c r="R45" s="6"/>
      <c r="S45" s="6"/>
      <c r="T45" s="6"/>
      <c r="U45" s="6"/>
      <c r="V45" s="5"/>
      <c r="W45" s="5"/>
      <c r="X45" s="148"/>
      <c r="Y45" s="1"/>
      <c r="Z45" s="1"/>
      <c r="AA45" s="1"/>
      <c r="AB45" s="1"/>
    </row>
    <row r="46" spans="1:28" s="2" customFormat="1" ht="14.25" customHeight="1" x14ac:dyDescent="0.25">
      <c r="A46" s="142"/>
      <c r="B46" s="40"/>
      <c r="C46" s="41"/>
      <c r="D46" s="41"/>
      <c r="E46" s="41"/>
      <c r="F46" s="41"/>
      <c r="G46" s="41"/>
      <c r="H46" s="41"/>
      <c r="I46" s="41"/>
      <c r="J46" s="41"/>
      <c r="K46" s="108"/>
      <c r="L46" s="41"/>
      <c r="M46" s="41"/>
      <c r="N46" s="41"/>
      <c r="O46" s="46"/>
      <c r="P46" s="46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1"/>
    </row>
    <row r="47" spans="1:28" s="2" customFormat="1" ht="14.25" customHeight="1" x14ac:dyDescent="0.25">
      <c r="A47" s="142">
        <v>5</v>
      </c>
      <c r="B47" s="19"/>
      <c r="C47" s="21"/>
      <c r="D47" s="22"/>
      <c r="E47" s="22"/>
      <c r="F47" s="23"/>
      <c r="G47" s="23"/>
      <c r="H47" s="26"/>
      <c r="I47" s="24"/>
      <c r="J47" s="25"/>
      <c r="K47" s="25"/>
      <c r="L47" s="100"/>
      <c r="M47" s="100"/>
      <c r="N47" s="100"/>
      <c r="O47" s="100"/>
      <c r="P47" s="100"/>
      <c r="Q47" s="6"/>
      <c r="R47" s="6"/>
      <c r="S47" s="6"/>
      <c r="T47" s="6"/>
      <c r="U47" s="6"/>
      <c r="V47" s="5"/>
      <c r="W47" s="5"/>
      <c r="X47" s="148"/>
      <c r="Y47" s="1"/>
      <c r="Z47" s="1"/>
      <c r="AA47" s="1"/>
      <c r="AB47" s="1"/>
    </row>
    <row r="48" spans="1:28" s="2" customFormat="1" ht="14.25" customHeight="1" x14ac:dyDescent="0.25">
      <c r="A48" s="142"/>
      <c r="B48" s="40"/>
      <c r="C48" s="41"/>
      <c r="D48" s="41"/>
      <c r="E48" s="41"/>
      <c r="F48" s="41"/>
      <c r="G48" s="41"/>
      <c r="H48" s="41"/>
      <c r="I48" s="41"/>
      <c r="J48" s="41"/>
      <c r="K48" s="108"/>
      <c r="L48" s="41"/>
      <c r="M48" s="41"/>
      <c r="N48" s="41"/>
      <c r="O48" s="46"/>
      <c r="P48" s="46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1"/>
    </row>
    <row r="49" spans="1:28" s="2" customFormat="1" ht="14.25" customHeight="1" x14ac:dyDescent="0.25">
      <c r="A49" s="142">
        <v>6</v>
      </c>
      <c r="B49" s="19"/>
      <c r="C49" s="21"/>
      <c r="D49" s="22"/>
      <c r="E49" s="22"/>
      <c r="F49" s="23"/>
      <c r="G49" s="23"/>
      <c r="H49" s="26"/>
      <c r="I49" s="24"/>
      <c r="J49" s="25"/>
      <c r="K49" s="25"/>
      <c r="L49" s="100"/>
      <c r="M49" s="100"/>
      <c r="N49" s="100"/>
      <c r="O49" s="100"/>
      <c r="P49" s="100"/>
      <c r="Q49" s="6"/>
      <c r="R49" s="6"/>
      <c r="S49" s="6"/>
      <c r="T49" s="6"/>
      <c r="U49" s="6"/>
      <c r="V49" s="5"/>
      <c r="W49" s="5"/>
      <c r="X49" s="148"/>
      <c r="Y49" s="1"/>
      <c r="Z49" s="1"/>
      <c r="AA49" s="1"/>
      <c r="AB49" s="1"/>
    </row>
    <row r="50" spans="1:28" s="2" customFormat="1" ht="14.25" customHeight="1" x14ac:dyDescent="0.25">
      <c r="A50" s="142"/>
      <c r="B50" s="40"/>
      <c r="C50" s="41"/>
      <c r="D50" s="41"/>
      <c r="E50" s="41"/>
      <c r="F50" s="41"/>
      <c r="G50" s="41"/>
      <c r="H50" s="41"/>
      <c r="I50" s="41"/>
      <c r="J50" s="41"/>
      <c r="K50" s="108"/>
      <c r="L50" s="41"/>
      <c r="M50" s="41"/>
      <c r="N50" s="41"/>
      <c r="O50" s="46"/>
      <c r="P50" s="46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1"/>
    </row>
    <row r="51" spans="1:28" s="2" customFormat="1" ht="14.25" customHeight="1" x14ac:dyDescent="0.25">
      <c r="A51" s="142">
        <v>7</v>
      </c>
      <c r="B51" s="19"/>
      <c r="C51" s="21"/>
      <c r="D51" s="22"/>
      <c r="E51" s="22"/>
      <c r="F51" s="23"/>
      <c r="G51" s="23"/>
      <c r="H51" s="26"/>
      <c r="I51" s="24"/>
      <c r="J51" s="25"/>
      <c r="K51" s="25"/>
      <c r="L51" s="100"/>
      <c r="M51" s="100"/>
      <c r="N51" s="100"/>
      <c r="O51" s="100"/>
      <c r="P51" s="100"/>
      <c r="Q51" s="6"/>
      <c r="R51" s="6"/>
      <c r="S51" s="6"/>
      <c r="T51" s="6"/>
      <c r="U51" s="6"/>
      <c r="V51" s="5"/>
      <c r="W51" s="5"/>
      <c r="X51" s="148"/>
      <c r="Y51" s="1"/>
      <c r="Z51" s="1"/>
      <c r="AA51" s="1"/>
      <c r="AB51" s="1"/>
    </row>
    <row r="52" spans="1:28" s="2" customFormat="1" ht="14.25" customHeight="1" x14ac:dyDescent="0.25">
      <c r="A52" s="142"/>
      <c r="B52" s="40"/>
      <c r="C52" s="41"/>
      <c r="D52" s="41"/>
      <c r="E52" s="41"/>
      <c r="F52" s="41"/>
      <c r="G52" s="41"/>
      <c r="H52" s="41"/>
      <c r="I52" s="41"/>
      <c r="J52" s="41"/>
      <c r="K52" s="108"/>
      <c r="L52" s="41"/>
      <c r="M52" s="41"/>
      <c r="N52" s="41"/>
      <c r="O52" s="46"/>
      <c r="P52" s="46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1"/>
    </row>
    <row r="53" spans="1:28" s="2" customFormat="1" ht="14.25" customHeight="1" x14ac:dyDescent="0.25">
      <c r="A53" s="142">
        <v>8</v>
      </c>
      <c r="B53" s="3"/>
      <c r="C53" s="21"/>
      <c r="D53" s="22"/>
      <c r="E53" s="22"/>
      <c r="F53" s="23"/>
      <c r="G53" s="23"/>
      <c r="H53" s="26"/>
      <c r="I53" s="24"/>
      <c r="J53" s="25"/>
      <c r="K53" s="25"/>
      <c r="L53" s="100"/>
      <c r="M53" s="100"/>
      <c r="N53" s="100"/>
      <c r="O53" s="100"/>
      <c r="P53" s="100"/>
      <c r="Q53" s="6"/>
      <c r="R53" s="6"/>
      <c r="S53" s="6"/>
      <c r="T53" s="6"/>
      <c r="U53" s="6"/>
      <c r="V53" s="5"/>
      <c r="W53" s="5"/>
      <c r="X53" s="148"/>
      <c r="Y53" s="1"/>
      <c r="Z53" s="1"/>
      <c r="AA53" s="1"/>
      <c r="AB53" s="1"/>
    </row>
    <row r="54" spans="1:28" s="2" customFormat="1" ht="14.25" customHeight="1" x14ac:dyDescent="0.25">
      <c r="A54" s="142"/>
      <c r="B54" s="40"/>
      <c r="C54" s="41"/>
      <c r="D54" s="41"/>
      <c r="E54" s="41"/>
      <c r="F54" s="41"/>
      <c r="G54" s="41"/>
      <c r="H54" s="41"/>
      <c r="I54" s="41"/>
      <c r="J54" s="41"/>
      <c r="K54" s="108"/>
      <c r="L54" s="41"/>
      <c r="M54" s="41"/>
      <c r="N54" s="41"/>
      <c r="O54" s="46"/>
      <c r="P54" s="46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1"/>
    </row>
    <row r="55" spans="1:28" s="2" customFormat="1" ht="14.25" customHeight="1" x14ac:dyDescent="0.25">
      <c r="A55" s="142">
        <v>9</v>
      </c>
      <c r="B55" s="19"/>
      <c r="C55" s="21"/>
      <c r="D55" s="22"/>
      <c r="E55" s="22"/>
      <c r="F55" s="23"/>
      <c r="G55" s="23"/>
      <c r="H55" s="26"/>
      <c r="I55" s="24"/>
      <c r="J55" s="25"/>
      <c r="K55" s="25"/>
      <c r="L55" s="100"/>
      <c r="M55" s="100"/>
      <c r="N55" s="100"/>
      <c r="O55" s="100"/>
      <c r="P55" s="100"/>
      <c r="Q55" s="6"/>
      <c r="R55" s="6"/>
      <c r="S55" s="6"/>
      <c r="T55" s="6"/>
      <c r="U55" s="6"/>
      <c r="V55" s="5"/>
      <c r="W55" s="5"/>
      <c r="X55" s="148"/>
      <c r="Y55" s="1"/>
      <c r="Z55" s="1"/>
      <c r="AA55" s="1"/>
      <c r="AB55" s="1"/>
    </row>
    <row r="56" spans="1:28" s="2" customFormat="1" ht="14.25" customHeight="1" x14ac:dyDescent="0.25">
      <c r="A56" s="142"/>
      <c r="B56" s="40"/>
      <c r="C56" s="41"/>
      <c r="D56" s="41"/>
      <c r="E56" s="41"/>
      <c r="F56" s="41"/>
      <c r="G56" s="41"/>
      <c r="H56" s="41"/>
      <c r="I56" s="41"/>
      <c r="J56" s="41"/>
      <c r="K56" s="108"/>
      <c r="L56" s="41"/>
      <c r="M56" s="41"/>
      <c r="N56" s="41"/>
      <c r="O56" s="46"/>
      <c r="P56" s="46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1"/>
    </row>
    <row r="57" spans="1:28" s="2" customFormat="1" ht="14.25" customHeight="1" thickBot="1" x14ac:dyDescent="0.3">
      <c r="A57" s="142">
        <v>10</v>
      </c>
      <c r="B57" s="198" t="s">
        <v>200</v>
      </c>
      <c r="C57" s="78">
        <f>[18]calculation!$C$10</f>
        <v>0</v>
      </c>
      <c r="D57" s="79">
        <f>[18]calculation!$R$8</f>
        <v>0</v>
      </c>
      <c r="E57" s="79">
        <f>[18]calculation!$E$10</f>
        <v>0</v>
      </c>
      <c r="F57" s="199">
        <v>0</v>
      </c>
      <c r="G57" s="80">
        <v>0</v>
      </c>
      <c r="H57" s="81">
        <v>0</v>
      </c>
      <c r="I57" s="153">
        <v>0</v>
      </c>
      <c r="J57" s="82">
        <v>0</v>
      </c>
      <c r="K57" s="82">
        <v>0</v>
      </c>
      <c r="L57" s="154">
        <v>0</v>
      </c>
      <c r="M57" s="28">
        <f>[18]calculation!$E$8</f>
        <v>0</v>
      </c>
      <c r="N57" s="28">
        <f>[18]calculation!$C$23</f>
        <v>0</v>
      </c>
      <c r="O57" s="28">
        <f>[18]calculation!$C$43</f>
        <v>6777.7</v>
      </c>
      <c r="P57" s="28">
        <f>[18]calculation!$C$45</f>
        <v>-6777.7</v>
      </c>
      <c r="Q57" s="91">
        <f>[18]calculation!$G$44</f>
        <v>-2.1180312499999999E-2</v>
      </c>
      <c r="R57" s="91">
        <f>[18]calculation!$G$42</f>
        <v>-0.10406830985915493</v>
      </c>
      <c r="S57" s="91">
        <f>[18]calculation!$G$43</f>
        <v>-0.10406830985915493</v>
      </c>
      <c r="T57" s="28">
        <f>[18]calculation!$G$35*12</f>
        <v>0</v>
      </c>
      <c r="U57" s="28">
        <f>[18]calculation!$C$29/12</f>
        <v>0</v>
      </c>
      <c r="V57" s="28">
        <f>[18]calculation!$G$38</f>
        <v>-1231.4749999999999</v>
      </c>
      <c r="W57" s="28">
        <f t="shared" ref="W57" si="6">V57*12</f>
        <v>-14777.699999999999</v>
      </c>
      <c r="X57" s="28">
        <f>[18]calculation!$O$8</f>
        <v>120000</v>
      </c>
      <c r="Y57" s="87">
        <v>0.6</v>
      </c>
      <c r="Z57" s="28">
        <f>V57*Y57</f>
        <v>-738.88499999999988</v>
      </c>
      <c r="AA57" s="28">
        <f>Z57*12</f>
        <v>-8866.619999999999</v>
      </c>
      <c r="AB57" s="1"/>
    </row>
    <row r="58" spans="1:28" ht="14.25" customHeight="1" thickTop="1" x14ac:dyDescent="0.25">
      <c r="B58" s="14" t="s">
        <v>8</v>
      </c>
      <c r="C58" s="15">
        <f>SUM(C39:C57)</f>
        <v>24</v>
      </c>
      <c r="D58" s="15">
        <f>SUM(D39:D57)</f>
        <v>19</v>
      </c>
      <c r="E58" s="17">
        <f>SUM(E39:E57)</f>
        <v>200774</v>
      </c>
      <c r="F58" s="16">
        <f>AVERAGE(F5:F33)</f>
        <v>0.76958172404008673</v>
      </c>
      <c r="G58" s="16">
        <f>AVERAGE(G5:G33)</f>
        <v>0.79069938946153795</v>
      </c>
      <c r="H58" s="15">
        <f>SUM(H39:H57)</f>
        <v>5</v>
      </c>
      <c r="I58" s="17">
        <f>SUM(I39:I57)</f>
        <v>33311</v>
      </c>
      <c r="J58" s="16">
        <f>AVERAGE(J39:J57)</f>
        <v>8.504618107025079E-2</v>
      </c>
      <c r="K58" s="16">
        <f>AVERAGE(K39:K57)</f>
        <v>0.15714285714285714</v>
      </c>
      <c r="L58" s="17">
        <f>SUM(L39:L57)</f>
        <v>234085</v>
      </c>
      <c r="M58" s="34">
        <f>SUM(M39:M57)</f>
        <v>79820.850000000006</v>
      </c>
      <c r="N58" s="34">
        <f>SUM(N39:N57)</f>
        <v>991850.2</v>
      </c>
      <c r="O58" s="34">
        <f>SUM(O39:O57)</f>
        <v>260726.11200000002</v>
      </c>
      <c r="P58" s="34">
        <f>SUM(P39:P57)</f>
        <v>731124.08799999999</v>
      </c>
      <c r="Q58" s="16">
        <f>AVERAGE(Q39:Q57)</f>
        <v>6.5283208382352936E-2</v>
      </c>
      <c r="R58" s="16">
        <f>AVERAGE(R39:R57)</f>
        <v>0.12395615227904484</v>
      </c>
      <c r="S58" s="16">
        <f>AVERAGE(S39:S57)</f>
        <v>0.17510364081303106</v>
      </c>
      <c r="T58" s="15">
        <f>SUM(T39:T57)</f>
        <v>88817.121652342059</v>
      </c>
      <c r="U58" s="174">
        <f>SUM(U39:U57)</f>
        <v>4959.2510000000002</v>
      </c>
      <c r="V58" s="37">
        <f>SUM(V39:V57)</f>
        <v>21671.413862304831</v>
      </c>
      <c r="W58" s="37">
        <f>SUM(W39:W57)</f>
        <v>260056.96634765796</v>
      </c>
      <c r="X58" s="15">
        <f>SUM(X39:X57)</f>
        <v>135800</v>
      </c>
      <c r="Y58" s="16">
        <f>AVERAGE(Y39:Y57)</f>
        <v>0.83666666666666678</v>
      </c>
      <c r="Z58" s="37">
        <f>SUM(Z39:Z57)</f>
        <v>19921.503862304835</v>
      </c>
      <c r="AA58" s="37">
        <f>SUM(AA39:AA57)</f>
        <v>239058.04634765798</v>
      </c>
    </row>
    <row r="59" spans="1:28" ht="14.25" customHeight="1" x14ac:dyDescent="0.25">
      <c r="C59" s="8"/>
      <c r="D59" s="8"/>
      <c r="E59" s="8"/>
      <c r="F59" s="8" t="s">
        <v>9</v>
      </c>
      <c r="G59" s="8" t="s">
        <v>9</v>
      </c>
      <c r="H59" s="8"/>
      <c r="I59" s="8"/>
      <c r="J59" s="8" t="s">
        <v>9</v>
      </c>
      <c r="K59" s="8" t="s">
        <v>9</v>
      </c>
      <c r="L59" s="8"/>
      <c r="M59" s="8"/>
      <c r="N59" s="8"/>
      <c r="O59" s="8"/>
      <c r="P59" s="8"/>
      <c r="Q59" s="8" t="s">
        <v>9</v>
      </c>
      <c r="R59" s="8" t="s">
        <v>9</v>
      </c>
      <c r="S59" s="8" t="s">
        <v>9</v>
      </c>
      <c r="Y59" s="8" t="s">
        <v>9</v>
      </c>
    </row>
    <row r="60" spans="1:28" ht="14.25" customHeight="1" x14ac:dyDescent="0.25"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28" ht="14.25" customHeight="1" x14ac:dyDescent="0.25">
      <c r="C61" s="7"/>
      <c r="D61" s="18"/>
    </row>
    <row r="62" spans="1:28" s="11" customFormat="1" ht="48" customHeight="1" x14ac:dyDescent="0.25">
      <c r="A62" s="9"/>
      <c r="B62" s="10" t="s">
        <v>148</v>
      </c>
      <c r="C62" s="9" t="s">
        <v>0</v>
      </c>
      <c r="D62" s="9" t="s">
        <v>14</v>
      </c>
      <c r="E62" s="9" t="s">
        <v>15</v>
      </c>
      <c r="F62" s="9" t="s">
        <v>34</v>
      </c>
      <c r="G62" s="9" t="s">
        <v>35</v>
      </c>
      <c r="H62" s="9" t="s">
        <v>16</v>
      </c>
      <c r="I62" s="9" t="s">
        <v>17</v>
      </c>
      <c r="J62" s="9" t="s">
        <v>36</v>
      </c>
      <c r="K62" s="9" t="s">
        <v>37</v>
      </c>
      <c r="L62" s="9" t="s">
        <v>31</v>
      </c>
      <c r="M62" s="9" t="s">
        <v>1</v>
      </c>
      <c r="N62" s="9" t="s">
        <v>2</v>
      </c>
      <c r="O62" s="9" t="s">
        <v>12</v>
      </c>
      <c r="P62" s="9" t="s">
        <v>3</v>
      </c>
      <c r="Q62" s="9" t="s">
        <v>6</v>
      </c>
      <c r="R62" s="9" t="s">
        <v>7</v>
      </c>
      <c r="S62" s="9" t="s">
        <v>13</v>
      </c>
      <c r="T62" s="9" t="s">
        <v>146</v>
      </c>
      <c r="U62" s="9" t="s">
        <v>179</v>
      </c>
      <c r="V62" s="9" t="s">
        <v>38</v>
      </c>
      <c r="W62" s="9" t="s">
        <v>39</v>
      </c>
      <c r="X62" s="9" t="s">
        <v>18</v>
      </c>
      <c r="Y62" s="9" t="s">
        <v>187</v>
      </c>
      <c r="Z62" s="9" t="s">
        <v>188</v>
      </c>
      <c r="AA62" s="9" t="s">
        <v>189</v>
      </c>
      <c r="AB62" s="1"/>
    </row>
    <row r="63" spans="1:28" s="2" customFormat="1" ht="14.25" customHeight="1" x14ac:dyDescent="0.25">
      <c r="A63" s="142">
        <v>1</v>
      </c>
      <c r="B63" s="151" t="s">
        <v>155</v>
      </c>
      <c r="C63" s="21">
        <f>[19]calculation!$C$13</f>
        <v>5</v>
      </c>
      <c r="D63" s="22">
        <f t="shared" ref="D63" si="7">C63-H63</f>
        <v>5</v>
      </c>
      <c r="E63" s="22">
        <f>[19]calculation!$R$11</f>
        <v>6658</v>
      </c>
      <c r="F63" s="23">
        <f>[19]calculation!$E$13</f>
        <v>1</v>
      </c>
      <c r="G63" s="23">
        <f>[19]calculation!$G$13</f>
        <v>1</v>
      </c>
      <c r="H63" s="26">
        <f>[19]calculation!$C$14</f>
        <v>0</v>
      </c>
      <c r="I63" s="24">
        <v>0</v>
      </c>
      <c r="J63" s="25">
        <f>[19]calculation!$E$14</f>
        <v>0</v>
      </c>
      <c r="K63" s="25">
        <f>[19]calculation!$G$14</f>
        <v>0</v>
      </c>
      <c r="L63" s="149">
        <f>[19]calculation!$G$11</f>
        <v>6658</v>
      </c>
      <c r="M63" s="5">
        <f>[19]calculation!$E$11</f>
        <v>7915.25</v>
      </c>
      <c r="N63" s="5">
        <f>[19]calculation!$C$26</f>
        <v>94983</v>
      </c>
      <c r="O63" s="5">
        <f>[19]calculation!$C$46</f>
        <v>27736.15</v>
      </c>
      <c r="P63" s="5">
        <f>[19]calculation!$C$48</f>
        <v>67246.850000000006</v>
      </c>
      <c r="Q63" s="6">
        <f>[19]calculation!$G$47</f>
        <v>0.15822788235294119</v>
      </c>
      <c r="R63" s="185" t="e">
        <f>[19]calculation!$G$45</f>
        <v>#DIV/0!</v>
      </c>
      <c r="S63" s="185" t="e">
        <f>[19]calculation!$G$46</f>
        <v>#DIV/0!</v>
      </c>
      <c r="T63" s="5">
        <f>[19]calculation!$G$38*12</f>
        <v>14006.552472307814</v>
      </c>
      <c r="U63" s="5">
        <f>[19]calculation!$C$32/12</f>
        <v>474.91499999999996</v>
      </c>
      <c r="V63" s="5">
        <f>[19]calculation!$G$41</f>
        <v>2514.316460641016</v>
      </c>
      <c r="W63" s="5">
        <f t="shared" ref="W63" si="8">V63*12</f>
        <v>30171.797527692193</v>
      </c>
      <c r="X63" s="5">
        <f>[19]calculation!$O$11</f>
        <v>0</v>
      </c>
      <c r="Y63" s="35">
        <v>1</v>
      </c>
      <c r="Z63" s="5">
        <f>V63*Y63</f>
        <v>2514.316460641016</v>
      </c>
      <c r="AA63" s="5">
        <f>Z63*12</f>
        <v>30171.797527692193</v>
      </c>
      <c r="AB63" s="1"/>
    </row>
    <row r="64" spans="1:28" s="2" customFormat="1" ht="14.25" customHeight="1" x14ac:dyDescent="0.25">
      <c r="A64" s="142"/>
      <c r="B64" s="40"/>
      <c r="C64" s="41"/>
      <c r="D64" s="41"/>
      <c r="E64" s="41"/>
      <c r="F64" s="41"/>
      <c r="G64" s="41"/>
      <c r="H64" s="41"/>
      <c r="I64" s="41"/>
      <c r="J64" s="41"/>
      <c r="K64" s="108"/>
      <c r="L64" s="41"/>
      <c r="M64" s="41"/>
      <c r="N64" s="41"/>
      <c r="O64" s="46"/>
      <c r="P64" s="46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1"/>
    </row>
    <row r="65" spans="1:28" s="2" customFormat="1" ht="14.25" customHeight="1" x14ac:dyDescent="0.25">
      <c r="A65" s="142">
        <v>2</v>
      </c>
      <c r="B65" s="151" t="s">
        <v>156</v>
      </c>
      <c r="C65" s="21">
        <f>[20]calculation!$C$16</f>
        <v>8</v>
      </c>
      <c r="D65" s="22">
        <f t="shared" ref="D65:D66" si="9">C65-H65</f>
        <v>6</v>
      </c>
      <c r="E65" s="22">
        <f>[20]calculation!$R$14</f>
        <v>22000</v>
      </c>
      <c r="F65" s="23">
        <f>[20]calculation!$E$16</f>
        <v>0.91666666666666663</v>
      </c>
      <c r="G65" s="23">
        <f>[20]calculation!$G$16</f>
        <v>0.75</v>
      </c>
      <c r="H65" s="26">
        <f>[20]calculation!$C$17</f>
        <v>2</v>
      </c>
      <c r="I65" s="24">
        <v>0</v>
      </c>
      <c r="J65" s="25">
        <f>[20]calculation!$E$17</f>
        <v>8.333333333333337E-2</v>
      </c>
      <c r="K65" s="25">
        <f>[20]calculation!$G$17</f>
        <v>0.25</v>
      </c>
      <c r="L65" s="149">
        <f>[20]calculation!$G$14</f>
        <v>24000</v>
      </c>
      <c r="M65" s="5">
        <f>[20]calculation!$E$14</f>
        <v>13002</v>
      </c>
      <c r="N65" s="5">
        <f>[20]calculation!$C$29</f>
        <v>156024</v>
      </c>
      <c r="O65" s="5">
        <f>[20]calculation!$C$49</f>
        <v>58558.710000000006</v>
      </c>
      <c r="P65" s="5">
        <f>[20]calculation!$C$51</f>
        <v>97465.29</v>
      </c>
      <c r="Q65" s="6">
        <f>[20]calculation!$G$50</f>
        <v>9.9063883894403987E-2</v>
      </c>
      <c r="R65" s="185" t="e">
        <f>[20]calculation!$G$48</f>
        <v>#DIV/0!</v>
      </c>
      <c r="S65" s="185" t="e">
        <f>[20]calculation!$G$49</f>
        <v>#DIV/0!</v>
      </c>
      <c r="T65" s="5">
        <f>[20]calculation!$G$41*12</f>
        <v>18250.035085791344</v>
      </c>
      <c r="U65" s="5">
        <f>[20]calculation!$C$35/12</f>
        <v>780.12</v>
      </c>
      <c r="V65" s="5">
        <f>[20]calculation!$G$44</f>
        <v>2932.0450818507206</v>
      </c>
      <c r="W65" s="5">
        <f t="shared" ref="W65:W66" si="10">V65*12</f>
        <v>35184.540982208651</v>
      </c>
      <c r="X65" s="5">
        <f>[20]calculation!$O$14</f>
        <v>2000</v>
      </c>
      <c r="Y65" s="35">
        <v>1</v>
      </c>
      <c r="Z65" s="5">
        <f>V65*Y65</f>
        <v>2932.0450818507206</v>
      </c>
      <c r="AA65" s="5">
        <f>Z65*12</f>
        <v>35184.540982208651</v>
      </c>
      <c r="AB65" s="1"/>
    </row>
    <row r="66" spans="1:28" s="2" customFormat="1" ht="14.25" customHeight="1" thickBot="1" x14ac:dyDescent="0.3">
      <c r="A66" s="142">
        <v>3</v>
      </c>
      <c r="B66" s="155" t="s">
        <v>157</v>
      </c>
      <c r="C66" s="78">
        <f>[21]calculation!$C$14</f>
        <v>6</v>
      </c>
      <c r="D66" s="79">
        <f t="shared" si="9"/>
        <v>5</v>
      </c>
      <c r="E66" s="79">
        <f>[21]calculation!$R$12</f>
        <v>8400</v>
      </c>
      <c r="F66" s="80">
        <f>[21]calculation!$E$14</f>
        <v>0.82352941176470584</v>
      </c>
      <c r="G66" s="80">
        <f>[21]calculation!$G$14</f>
        <v>0.83333333333333337</v>
      </c>
      <c r="H66" s="81">
        <f>[21]calculation!$C$15</f>
        <v>1</v>
      </c>
      <c r="I66" s="153">
        <f>[21]calculation!$S$12</f>
        <v>1800</v>
      </c>
      <c r="J66" s="82">
        <f>[21]calculation!$E$15</f>
        <v>0.17647058823529416</v>
      </c>
      <c r="K66" s="82">
        <f>[21]calculation!$G$15</f>
        <v>0.16666666666666666</v>
      </c>
      <c r="L66" s="154">
        <f>[21]calculation!$G$12</f>
        <v>10200</v>
      </c>
      <c r="M66" s="28">
        <f>[21]calculation!$E$12</f>
        <v>6963.05</v>
      </c>
      <c r="N66" s="28">
        <f>[21]calculation!$C$27</f>
        <v>83556.600000000006</v>
      </c>
      <c r="O66" s="28">
        <f>[21]calculation!$C$47</f>
        <v>34084.205999999998</v>
      </c>
      <c r="P66" s="28">
        <f>[21]calculation!$C$49</f>
        <v>49472.394000000008</v>
      </c>
      <c r="Q66" s="91">
        <f>[21]calculation!$G$48</f>
        <v>0.14767878805970153</v>
      </c>
      <c r="R66" s="186" t="e">
        <f>[21]calculation!$G$46</f>
        <v>#DIV/0!</v>
      </c>
      <c r="S66" s="186" t="e">
        <f>[21]calculation!$G$47</f>
        <v>#DIV/0!</v>
      </c>
      <c r="T66" s="28">
        <f>[21]calculation!$G$39*12</f>
        <v>13001.658846737137</v>
      </c>
      <c r="U66" s="28">
        <f>[21]calculation!$C$33/12</f>
        <v>417.78299999999996</v>
      </c>
      <c r="V66" s="28">
        <f>[21]calculation!$G$42</f>
        <v>425.20409043857262</v>
      </c>
      <c r="W66" s="28">
        <f t="shared" si="10"/>
        <v>5102.4490852628714</v>
      </c>
      <c r="X66" s="28">
        <f>[21]calculation!$O$12</f>
        <v>1100</v>
      </c>
      <c r="Y66" s="87">
        <v>1</v>
      </c>
      <c r="Z66" s="28">
        <f>V66*Y66</f>
        <v>425.20409043857262</v>
      </c>
      <c r="AA66" s="28">
        <f>Z66*12</f>
        <v>5102.4490852628714</v>
      </c>
      <c r="AB66" s="1"/>
    </row>
    <row r="67" spans="1:28" ht="14.25" customHeight="1" thickTop="1" x14ac:dyDescent="0.25">
      <c r="B67" s="14" t="s">
        <v>8</v>
      </c>
      <c r="C67" s="15">
        <f>SUM(C63:C66)</f>
        <v>19</v>
      </c>
      <c r="D67" s="15">
        <f>SUM(D63:D66)</f>
        <v>16</v>
      </c>
      <c r="E67" s="17">
        <f>SUM(E63:E66)</f>
        <v>37058</v>
      </c>
      <c r="F67" s="16">
        <f>AVERAGE(F14:F42)</f>
        <v>0.83585733340828883</v>
      </c>
      <c r="G67" s="16">
        <f>AVERAGE(G14:G42)</f>
        <v>0.8218343062639738</v>
      </c>
      <c r="H67" s="15">
        <f>SUM(H63:H66)</f>
        <v>3</v>
      </c>
      <c r="I67" s="17">
        <f>SUM(I63:I66)</f>
        <v>1800</v>
      </c>
      <c r="J67" s="16">
        <f>AVERAGE(J14:J42)</f>
        <v>0.16414266659171134</v>
      </c>
      <c r="K67" s="16">
        <f>AVERAGE(K14:K42)</f>
        <v>0.17816569373602628</v>
      </c>
      <c r="L67" s="17">
        <f>SUM(L63:L66)</f>
        <v>40858</v>
      </c>
      <c r="M67" s="34">
        <f>SUM(M63:M66)</f>
        <v>27880.3</v>
      </c>
      <c r="N67" s="34">
        <f>SUM(N63:N66)</f>
        <v>334563.59999999998</v>
      </c>
      <c r="O67" s="34">
        <f>SUM(O63:O66)</f>
        <v>120379.06600000002</v>
      </c>
      <c r="P67" s="34">
        <f>SUM(P63:P66)</f>
        <v>214184.53400000001</v>
      </c>
      <c r="Q67" s="16">
        <f>AVERAGE(Q63:Q66)</f>
        <v>0.13499018476901556</v>
      </c>
      <c r="R67" s="16" t="e">
        <f>AVERAGE(R63:R66)</f>
        <v>#DIV/0!</v>
      </c>
      <c r="S67" s="16" t="e">
        <f>AVERAGE(S63:S66)</f>
        <v>#DIV/0!</v>
      </c>
      <c r="T67" s="15">
        <f>SUM(T63:T66)</f>
        <v>45258.246404836289</v>
      </c>
      <c r="U67" s="174">
        <f>SUM(U63:U66)</f>
        <v>1672.8179999999998</v>
      </c>
      <c r="V67" s="37">
        <f>SUM(V63:V66)</f>
        <v>5871.5656329303092</v>
      </c>
      <c r="W67" s="37">
        <f>SUM(W63:W66)</f>
        <v>70458.787595163711</v>
      </c>
      <c r="X67" s="15">
        <f>SUM(X63:X66)</f>
        <v>3100</v>
      </c>
      <c r="Y67" s="182">
        <f>AVERAGE(Y63:Y66)</f>
        <v>1</v>
      </c>
      <c r="Z67" s="37">
        <f>SUM(Z63:Z66)</f>
        <v>5871.5656329303092</v>
      </c>
      <c r="AA67" s="37">
        <f>SUM(AA63:AA66)</f>
        <v>70458.787595163711</v>
      </c>
    </row>
    <row r="68" spans="1:28" ht="14.25" customHeight="1" x14ac:dyDescent="0.25">
      <c r="C68" s="8"/>
      <c r="D68" s="8"/>
      <c r="E68" s="8"/>
      <c r="F68" s="8" t="s">
        <v>9</v>
      </c>
      <c r="G68" s="8" t="s">
        <v>9</v>
      </c>
      <c r="H68" s="8"/>
      <c r="I68" s="8"/>
      <c r="J68" s="8" t="s">
        <v>9</v>
      </c>
      <c r="K68" s="8" t="s">
        <v>9</v>
      </c>
      <c r="L68" s="8"/>
      <c r="M68" s="8"/>
      <c r="N68" s="8"/>
      <c r="O68" s="8"/>
      <c r="P68" s="8"/>
      <c r="Q68" s="8" t="s">
        <v>9</v>
      </c>
      <c r="R68" s="8" t="s">
        <v>9</v>
      </c>
      <c r="S68" s="8" t="s">
        <v>9</v>
      </c>
      <c r="Y68" s="8" t="s">
        <v>9</v>
      </c>
    </row>
    <row r="69" spans="1:28" ht="14.25" customHeight="1" x14ac:dyDescent="0.25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28" ht="14.25" customHeight="1" x14ac:dyDescent="0.25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28" s="11" customFormat="1" ht="48" customHeight="1" x14ac:dyDescent="0.25">
      <c r="A71" s="9"/>
      <c r="B71" s="10" t="s">
        <v>152</v>
      </c>
      <c r="C71" s="9" t="s">
        <v>0</v>
      </c>
      <c r="D71" s="9" t="s">
        <v>14</v>
      </c>
      <c r="E71" s="9" t="s">
        <v>15</v>
      </c>
      <c r="F71" s="9" t="s">
        <v>34</v>
      </c>
      <c r="G71" s="9" t="s">
        <v>35</v>
      </c>
      <c r="H71" s="9" t="s">
        <v>16</v>
      </c>
      <c r="I71" s="9" t="s">
        <v>17</v>
      </c>
      <c r="J71" s="9" t="s">
        <v>36</v>
      </c>
      <c r="K71" s="9" t="s">
        <v>37</v>
      </c>
      <c r="L71" s="9" t="s">
        <v>31</v>
      </c>
      <c r="M71" s="9" t="s">
        <v>1</v>
      </c>
      <c r="N71" s="9" t="s">
        <v>2</v>
      </c>
      <c r="O71" s="9" t="s">
        <v>12</v>
      </c>
      <c r="P71" s="9" t="s">
        <v>3</v>
      </c>
      <c r="Q71" s="9" t="s">
        <v>6</v>
      </c>
      <c r="R71" s="9" t="s">
        <v>7</v>
      </c>
      <c r="S71" s="9" t="s">
        <v>13</v>
      </c>
      <c r="T71" s="9" t="s">
        <v>146</v>
      </c>
      <c r="U71" s="9" t="s">
        <v>179</v>
      </c>
      <c r="V71" s="9" t="s">
        <v>38</v>
      </c>
      <c r="W71" s="9" t="s">
        <v>39</v>
      </c>
      <c r="X71" s="9" t="s">
        <v>18</v>
      </c>
      <c r="Y71" s="9" t="s">
        <v>187</v>
      </c>
      <c r="Z71" s="9" t="s">
        <v>188</v>
      </c>
      <c r="AA71" s="9" t="s">
        <v>189</v>
      </c>
      <c r="AB71" s="1"/>
    </row>
    <row r="72" spans="1:28" s="2" customFormat="1" ht="14.25" customHeight="1" x14ac:dyDescent="0.25">
      <c r="A72" s="142">
        <v>1</v>
      </c>
      <c r="B72" s="19" t="s">
        <v>158</v>
      </c>
      <c r="C72" s="21">
        <f>[22]calculation!$C$9</f>
        <v>1</v>
      </c>
      <c r="D72" s="22">
        <f t="shared" ref="D72" si="11">C72-H72</f>
        <v>1</v>
      </c>
      <c r="E72" s="22">
        <f>[22]calculation!$R$7</f>
        <v>2184</v>
      </c>
      <c r="F72" s="23">
        <f>[22]calculation!$E$9</f>
        <v>1</v>
      </c>
      <c r="G72" s="23">
        <f>[22]calculation!$G$9</f>
        <v>1</v>
      </c>
      <c r="H72" s="26">
        <f>[22]calculation!$C$10</f>
        <v>0</v>
      </c>
      <c r="I72" s="24">
        <f>[22]calculation!$S$7</f>
        <v>0</v>
      </c>
      <c r="J72" s="25">
        <f>[22]calculation!$E$10</f>
        <v>0</v>
      </c>
      <c r="K72" s="25">
        <f>[22]calculation!$G$10</f>
        <v>0</v>
      </c>
      <c r="L72" s="149">
        <f>[22]calculation!$G$7</f>
        <v>2184</v>
      </c>
      <c r="M72" s="5">
        <f>[22]calculation!$E$7</f>
        <v>2150</v>
      </c>
      <c r="N72" s="5">
        <f>[22]calculation!$C$22</f>
        <v>25800</v>
      </c>
      <c r="O72" s="5">
        <f>[22]calculation!$C$42</f>
        <v>10175.68</v>
      </c>
      <c r="P72" s="5">
        <f>[22]calculation!$C$44</f>
        <v>15624.32</v>
      </c>
      <c r="Q72" s="6">
        <f>[22]calculation!$G$43</f>
        <v>4.3400888888888885E-2</v>
      </c>
      <c r="R72" s="6">
        <f>[22]calculation!$G$41</f>
        <v>-9.5756226398175812E-2</v>
      </c>
      <c r="S72" s="6">
        <f>[22]calculation!$G$42</f>
        <v>0.10083680447622001</v>
      </c>
      <c r="T72" s="5">
        <f>[22]calculation!$G$34*12</f>
        <v>6324.3978032293162</v>
      </c>
      <c r="U72" s="5">
        <f>[22]calculation!$C$28/12</f>
        <v>129</v>
      </c>
      <c r="V72" s="5">
        <f>[22]calculation!$G$37</f>
        <v>-256.70648360244309</v>
      </c>
      <c r="W72" s="5">
        <f t="shared" ref="W72" si="12">V72*12</f>
        <v>-3080.477803229317</v>
      </c>
      <c r="X72" s="5">
        <f>[22]calculation!$O$7</f>
        <v>0</v>
      </c>
      <c r="Y72" s="35">
        <v>1</v>
      </c>
      <c r="Z72" s="5">
        <f>V72*Y72</f>
        <v>-256.70648360244309</v>
      </c>
      <c r="AA72" s="5">
        <f>Z72*12</f>
        <v>-3080.477803229317</v>
      </c>
      <c r="AB72" s="1"/>
    </row>
    <row r="73" spans="1:28" s="2" customFormat="1" ht="14.25" customHeight="1" x14ac:dyDescent="0.25">
      <c r="A73" s="142"/>
      <c r="B73" s="40"/>
      <c r="C73" s="41"/>
      <c r="D73" s="41"/>
      <c r="E73" s="41"/>
      <c r="F73" s="41"/>
      <c r="G73" s="41"/>
      <c r="H73" s="41"/>
      <c r="I73" s="41"/>
      <c r="J73" s="41"/>
      <c r="K73" s="108"/>
      <c r="L73" s="41"/>
      <c r="M73" s="41"/>
      <c r="N73" s="41"/>
      <c r="O73" s="46"/>
      <c r="P73" s="46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1"/>
    </row>
    <row r="74" spans="1:28" s="2" customFormat="1" ht="14.25" customHeight="1" x14ac:dyDescent="0.25">
      <c r="A74" s="142">
        <v>2</v>
      </c>
      <c r="B74" t="s">
        <v>159</v>
      </c>
      <c r="C74" s="21">
        <f>[23]calculation!$C$9</f>
        <v>1</v>
      </c>
      <c r="D74" s="22">
        <f t="shared" ref="D74" si="13">C74-H74</f>
        <v>0</v>
      </c>
      <c r="E74" s="22">
        <f>[23]calculation!$R$7</f>
        <v>996</v>
      </c>
      <c r="F74" s="23">
        <f>[23]calculation!$E$9</f>
        <v>1</v>
      </c>
      <c r="G74" s="23">
        <f>[23]calculation!$G$9</f>
        <v>0</v>
      </c>
      <c r="H74" s="26">
        <f>[23]calculation!$C$10</f>
        <v>1</v>
      </c>
      <c r="I74" s="24">
        <f>[23]calculation!$S$7</f>
        <v>0</v>
      </c>
      <c r="J74" s="25">
        <f>[23]calculation!$E$10</f>
        <v>0</v>
      </c>
      <c r="K74" s="25">
        <f>[23]calculation!$G$10</f>
        <v>1</v>
      </c>
      <c r="L74" s="149">
        <f>[23]calculation!$G$7</f>
        <v>996</v>
      </c>
      <c r="M74" s="5">
        <f>[23]calculation!$E$7</f>
        <v>2500</v>
      </c>
      <c r="N74" s="5">
        <f>[23]calculation!$C$22</f>
        <v>30000</v>
      </c>
      <c r="O74" s="5">
        <f>[23]calculation!$C$42</f>
        <v>10419.4</v>
      </c>
      <c r="P74" s="5">
        <f>[23]calculation!$C$44</f>
        <v>19580.599999999999</v>
      </c>
      <c r="Q74" s="6">
        <f>[23]calculation!$G$43</f>
        <v>8.4399137931034471E-2</v>
      </c>
      <c r="R74" s="6">
        <f>[23]calculation!$G$41</f>
        <v>0.34839811245411184</v>
      </c>
      <c r="S74" s="6">
        <f>[23]calculation!$G$42</f>
        <v>0.53606816158018256</v>
      </c>
      <c r="T74" s="5">
        <f>[23]calculation!$G$34*12</f>
        <v>4636.5762337087072</v>
      </c>
      <c r="U74" s="5">
        <f>[23]calculation!$C$28/12</f>
        <v>150</v>
      </c>
      <c r="V74" s="5">
        <f>[23]calculation!$G$37</f>
        <v>717.29364719094087</v>
      </c>
      <c r="W74" s="5">
        <f t="shared" ref="W74" si="14">V74*12</f>
        <v>8607.5237662912914</v>
      </c>
      <c r="X74" s="5">
        <f>[23]calculation!$O$7</f>
        <v>0</v>
      </c>
      <c r="Y74" s="35">
        <v>1</v>
      </c>
      <c r="Z74" s="5">
        <f>V74*Y74</f>
        <v>717.29364719094087</v>
      </c>
      <c r="AA74" s="5">
        <f>Z74*12</f>
        <v>8607.5237662912914</v>
      </c>
      <c r="AB74" s="1"/>
    </row>
    <row r="75" spans="1:28" s="2" customFormat="1" ht="14.25" customHeight="1" x14ac:dyDescent="0.25">
      <c r="A75" s="142"/>
      <c r="B75" s="40"/>
      <c r="C75" s="41"/>
      <c r="D75" s="41"/>
      <c r="E75" s="41"/>
      <c r="F75" s="41"/>
      <c r="G75" s="41"/>
      <c r="H75" s="41"/>
      <c r="I75" s="41"/>
      <c r="J75" s="41"/>
      <c r="K75" s="108"/>
      <c r="L75" s="41"/>
      <c r="M75" s="41"/>
      <c r="N75" s="41"/>
      <c r="O75" s="46"/>
      <c r="P75" s="46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1"/>
    </row>
    <row r="76" spans="1:28" s="2" customFormat="1" ht="14.25" customHeight="1" x14ac:dyDescent="0.25">
      <c r="A76" s="142">
        <v>3</v>
      </c>
      <c r="B76" s="179" t="s">
        <v>190</v>
      </c>
      <c r="C76" s="21">
        <f>[24]calculation!$C$9</f>
        <v>1</v>
      </c>
      <c r="D76" s="22">
        <f t="shared" ref="D76" si="15">C76-H76</f>
        <v>0</v>
      </c>
      <c r="E76" s="22">
        <f>[24]calculation!$R$7</f>
        <v>0</v>
      </c>
      <c r="F76" s="23">
        <f>[24]calculation!$E$9</f>
        <v>0</v>
      </c>
      <c r="G76" s="23">
        <f>[24]calculation!$G$9</f>
        <v>0</v>
      </c>
      <c r="H76" s="26">
        <f>[24]calculation!$C$10</f>
        <v>1</v>
      </c>
      <c r="I76" s="24">
        <f>[24]calculation!$S$7</f>
        <v>2326</v>
      </c>
      <c r="J76" s="25">
        <f>[24]calculation!$E$10</f>
        <v>1</v>
      </c>
      <c r="K76" s="25">
        <f>[24]calculation!$G$10</f>
        <v>1</v>
      </c>
      <c r="L76" s="149">
        <f>[24]calculation!$G$7</f>
        <v>2326</v>
      </c>
      <c r="M76" s="5">
        <f>[24]calculation!$E$7</f>
        <v>0</v>
      </c>
      <c r="N76" s="5">
        <f>[24]calculation!$C$22</f>
        <v>0</v>
      </c>
      <c r="O76" s="5">
        <f>[24]calculation!$C$42</f>
        <v>14021.92</v>
      </c>
      <c r="P76" s="5">
        <f>[24]calculation!$C$44</f>
        <v>-14021.92</v>
      </c>
      <c r="Q76" s="6">
        <f>[24]calculation!$G$43</f>
        <v>-2.5039142857142857E-2</v>
      </c>
      <c r="R76" s="6">
        <f>[24]calculation!$G$41</f>
        <v>-1.177412650188604</v>
      </c>
      <c r="S76" s="6">
        <f>[24]calculation!$G$42</f>
        <v>-0.99647088186356014</v>
      </c>
      <c r="T76" s="5">
        <f>[24]calculation!$G$34*12</f>
        <v>8699.6802210681126</v>
      </c>
      <c r="U76" s="5">
        <f>[24]calculation!$C$28/12</f>
        <v>0</v>
      </c>
      <c r="V76" s="5">
        <f>[24]calculation!$G$37</f>
        <v>-4717.5000184223427</v>
      </c>
      <c r="W76" s="5">
        <f t="shared" ref="W76" si="16">V76*12</f>
        <v>-56610.000221068112</v>
      </c>
      <c r="X76" s="5">
        <f>[24]calculation!$O$7</f>
        <v>6000</v>
      </c>
      <c r="Y76" s="35">
        <v>1</v>
      </c>
      <c r="Z76" s="5">
        <f>V76*Y76</f>
        <v>-4717.5000184223427</v>
      </c>
      <c r="AA76" s="5">
        <f>Z76*12</f>
        <v>-56610.000221068112</v>
      </c>
      <c r="AB76" s="1"/>
    </row>
    <row r="77" spans="1:28" s="2" customFormat="1" ht="14.25" customHeight="1" x14ac:dyDescent="0.25">
      <c r="A77" s="142"/>
      <c r="B77" s="40"/>
      <c r="C77" s="41"/>
      <c r="D77" s="41"/>
      <c r="E77" s="41"/>
      <c r="F77" s="41"/>
      <c r="G77" s="41"/>
      <c r="H77" s="41"/>
      <c r="I77" s="41"/>
      <c r="J77" s="41"/>
      <c r="K77" s="108"/>
      <c r="L77" s="41"/>
      <c r="M77" s="41"/>
      <c r="N77" s="41"/>
      <c r="O77" s="46"/>
      <c r="P77" s="46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1"/>
    </row>
    <row r="78" spans="1:28" s="2" customFormat="1" ht="14.25" customHeight="1" x14ac:dyDescent="0.25">
      <c r="A78" s="142">
        <v>4</v>
      </c>
      <c r="B78" s="179" t="s">
        <v>191</v>
      </c>
      <c r="C78" s="21">
        <f>[25]calculation!$C$9</f>
        <v>1</v>
      </c>
      <c r="D78" s="22">
        <f t="shared" ref="D78" si="17">C78-H78</f>
        <v>0</v>
      </c>
      <c r="E78" s="22">
        <f>[25]calculation!$R$7</f>
        <v>0</v>
      </c>
      <c r="F78" s="23">
        <f>[25]calculation!$E$9</f>
        <v>0</v>
      </c>
      <c r="G78" s="23">
        <f>[25]calculation!$G$9</f>
        <v>0</v>
      </c>
      <c r="H78" s="26">
        <f>[25]calculation!$C$10</f>
        <v>1</v>
      </c>
      <c r="I78" s="24">
        <f>[25]calculation!$S$7</f>
        <v>1170</v>
      </c>
      <c r="J78" s="25">
        <f>[25]calculation!$E$10</f>
        <v>1</v>
      </c>
      <c r="K78" s="25">
        <f>[25]calculation!$G$10</f>
        <v>1</v>
      </c>
      <c r="L78" s="149">
        <f>[25]calculation!$G$7</f>
        <v>1170</v>
      </c>
      <c r="M78" s="5">
        <f>[25]calculation!$E$7</f>
        <v>0</v>
      </c>
      <c r="N78" s="5">
        <f>[25]calculation!$C$22</f>
        <v>0</v>
      </c>
      <c r="O78" s="5">
        <f>[25]calculation!$C$42</f>
        <v>3446</v>
      </c>
      <c r="P78" s="5">
        <f>[25]calculation!$C$44</f>
        <v>-3446</v>
      </c>
      <c r="Q78" s="6">
        <f>[25]calculation!$G$43</f>
        <v>-1.0348348348348349E-2</v>
      </c>
      <c r="R78" s="6">
        <f>[25]calculation!$G$41</f>
        <v>-0.2420910919469017</v>
      </c>
      <c r="S78" s="6">
        <f>[25]calculation!$G$42</f>
        <v>-0.18557412176831406</v>
      </c>
      <c r="T78" s="5">
        <f>[25]calculation!$G$34*12</f>
        <v>4499.6522718899269</v>
      </c>
      <c r="U78" s="5">
        <f>[25]calculation!$C$28/12</f>
        <v>0</v>
      </c>
      <c r="V78" s="5">
        <f>[25]calculation!$G$37</f>
        <v>-1606.1926893241605</v>
      </c>
      <c r="W78" s="5">
        <f t="shared" ref="W78" si="18">V78*12</f>
        <v>-19274.312271889925</v>
      </c>
      <c r="X78" s="5">
        <f>[25]calculation!$O$7</f>
        <v>1200</v>
      </c>
      <c r="Y78" s="35">
        <v>1</v>
      </c>
      <c r="Z78" s="5">
        <f>V78*Y78</f>
        <v>-1606.1926893241605</v>
      </c>
      <c r="AA78" s="5">
        <f>Z78*12</f>
        <v>-19274.312271889925</v>
      </c>
      <c r="AB78" s="1"/>
    </row>
    <row r="79" spans="1:28" s="2" customFormat="1" ht="14.25" customHeight="1" x14ac:dyDescent="0.25">
      <c r="A79" s="142"/>
      <c r="B79" s="40"/>
      <c r="C79" s="41"/>
      <c r="D79" s="41"/>
      <c r="E79" s="41"/>
      <c r="F79" s="41"/>
      <c r="G79" s="41"/>
      <c r="H79" s="41"/>
      <c r="I79" s="41"/>
      <c r="J79" s="41"/>
      <c r="K79" s="108"/>
      <c r="L79" s="41"/>
      <c r="M79" s="41"/>
      <c r="N79" s="41"/>
      <c r="O79" s="46"/>
      <c r="P79" s="46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1"/>
    </row>
    <row r="80" spans="1:28" s="2" customFormat="1" ht="14.25" customHeight="1" x14ac:dyDescent="0.25">
      <c r="A80" s="142">
        <v>5</v>
      </c>
      <c r="B80" s="151" t="s">
        <v>162</v>
      </c>
      <c r="C80" s="21">
        <f>[26]calculation!$C$9</f>
        <v>1</v>
      </c>
      <c r="D80" s="22">
        <f t="shared" ref="D80:D82" si="19">C80-H80</f>
        <v>1</v>
      </c>
      <c r="E80" s="22">
        <f>[26]calculation!$R$7</f>
        <v>728</v>
      </c>
      <c r="F80" s="23">
        <f>[26]calculation!$E$9</f>
        <v>1</v>
      </c>
      <c r="G80" s="23">
        <f>[26]calculation!$G$9</f>
        <v>1</v>
      </c>
      <c r="H80" s="26">
        <f>[26]calculation!$C$10</f>
        <v>0</v>
      </c>
      <c r="I80" s="24">
        <f>[26]calculation!$S$7</f>
        <v>0</v>
      </c>
      <c r="J80" s="25">
        <f>[26]calculation!$E$10</f>
        <v>0</v>
      </c>
      <c r="K80" s="25">
        <f>[26]calculation!$G$10</f>
        <v>0</v>
      </c>
      <c r="L80" s="149">
        <f>[26]calculation!$G$7</f>
        <v>728</v>
      </c>
      <c r="M80" s="5">
        <f>[26]calculation!$E$7</f>
        <v>2000</v>
      </c>
      <c r="N80" s="5">
        <f>[26]calculation!$C$22</f>
        <v>24000</v>
      </c>
      <c r="O80" s="5">
        <f>[26]calculation!$C$42</f>
        <v>6268.38</v>
      </c>
      <c r="P80" s="5">
        <f>[26]calculation!$C$44</f>
        <v>17731.62</v>
      </c>
      <c r="Q80" s="6">
        <f>[26]calculation!$G$43</f>
        <v>0.29552699999999998</v>
      </c>
      <c r="R80" s="185" t="e">
        <f>[26]calculation!$G$41</f>
        <v>#DIV/0!</v>
      </c>
      <c r="S80" s="185" t="e">
        <f>[26]calculation!$G$42</f>
        <v>#DIV/0!</v>
      </c>
      <c r="T80" s="5">
        <f>[26]calculation!$G$34</f>
        <v>0</v>
      </c>
      <c r="U80" s="5">
        <f>[26]calculation!$C$28/12</f>
        <v>120</v>
      </c>
      <c r="V80" s="5">
        <f>[26]calculation!$G$37</f>
        <v>208.52041666666673</v>
      </c>
      <c r="W80" s="5">
        <f t="shared" ref="W80:W82" si="20">V80*12</f>
        <v>2502.2450000000008</v>
      </c>
      <c r="X80" s="5">
        <f>[26]calculation!$O$7</f>
        <v>0</v>
      </c>
      <c r="Y80" s="35">
        <v>1</v>
      </c>
      <c r="Z80" s="5">
        <f>V80*Y80</f>
        <v>208.52041666666673</v>
      </c>
      <c r="AA80" s="5">
        <f>Z80*12</f>
        <v>2502.2450000000008</v>
      </c>
      <c r="AB80" s="1"/>
    </row>
    <row r="81" spans="1:28" s="2" customFormat="1" ht="14.25" customHeight="1" x14ac:dyDescent="0.25">
      <c r="A81" s="142">
        <v>6</v>
      </c>
      <c r="B81" s="151" t="s">
        <v>163</v>
      </c>
      <c r="C81" s="21">
        <f>[27]calculation!$C$9</f>
        <v>1</v>
      </c>
      <c r="D81" s="22">
        <f t="shared" si="19"/>
        <v>1</v>
      </c>
      <c r="E81" s="22">
        <f>[27]calculation!$R$7</f>
        <v>728</v>
      </c>
      <c r="F81" s="23">
        <f>[27]calculation!$E$9</f>
        <v>1</v>
      </c>
      <c r="G81" s="23">
        <f>[27]calculation!$G$9</f>
        <v>1</v>
      </c>
      <c r="H81" s="26">
        <f>[27]calculation!$C$10</f>
        <v>0</v>
      </c>
      <c r="I81" s="24">
        <f>[27]calculation!$S$7</f>
        <v>0</v>
      </c>
      <c r="J81" s="25">
        <f>[27]calculation!$E$10</f>
        <v>0</v>
      </c>
      <c r="K81" s="25">
        <f>[27]calculation!$G$10</f>
        <v>0</v>
      </c>
      <c r="L81" s="149">
        <f>[27]calculation!$G$7</f>
        <v>728</v>
      </c>
      <c r="M81" s="5">
        <f>[27]calculation!$E$7</f>
        <v>2000</v>
      </c>
      <c r="N81" s="5">
        <f>[27]calculation!$C$22</f>
        <v>24000</v>
      </c>
      <c r="O81" s="5">
        <f>[27]calculation!$C$42</f>
        <v>6385.4</v>
      </c>
      <c r="P81" s="5">
        <f>[27]calculation!$C$44</f>
        <v>17614.599999999999</v>
      </c>
      <c r="Q81" s="6">
        <f>[27]calculation!$G$43</f>
        <v>0.29357666666666665</v>
      </c>
      <c r="R81" s="185" t="e">
        <f>[27]calculation!$G$41</f>
        <v>#DIV/0!</v>
      </c>
      <c r="S81" s="185" t="e">
        <f>[27]calculation!$G$42</f>
        <v>#DIV/0!</v>
      </c>
      <c r="T81" s="5">
        <f>[27]calculation!$G$34*12</f>
        <v>0</v>
      </c>
      <c r="U81" s="5">
        <f>[27]calculation!$C$28/12</f>
        <v>120</v>
      </c>
      <c r="V81" s="5">
        <f>[27]calculation!$G$37</f>
        <v>198.76874999999995</v>
      </c>
      <c r="W81" s="5">
        <f t="shared" si="20"/>
        <v>2385.2249999999995</v>
      </c>
      <c r="X81" s="5">
        <f>[27]calculation!$O$7</f>
        <v>0</v>
      </c>
      <c r="Y81" s="35">
        <v>1</v>
      </c>
      <c r="Z81" s="5">
        <f>V81*Y81</f>
        <v>198.76874999999995</v>
      </c>
      <c r="AA81" s="5">
        <f>Z81*12</f>
        <v>2385.2249999999995</v>
      </c>
      <c r="AB81" s="1"/>
    </row>
    <row r="82" spans="1:28" s="2" customFormat="1" ht="14.25" customHeight="1" x14ac:dyDescent="0.25">
      <c r="A82" s="142">
        <v>7</v>
      </c>
      <c r="B82" s="151" t="s">
        <v>164</v>
      </c>
      <c r="C82" s="21">
        <f>[28]calculation!$C$9</f>
        <v>1</v>
      </c>
      <c r="D82" s="22">
        <f t="shared" si="19"/>
        <v>1</v>
      </c>
      <c r="E82" s="22">
        <f>[28]calculation!$R$7</f>
        <v>728</v>
      </c>
      <c r="F82" s="23">
        <f>[28]calculation!$E$9</f>
        <v>1</v>
      </c>
      <c r="G82" s="23">
        <f>[28]calculation!$G$9</f>
        <v>1</v>
      </c>
      <c r="H82" s="26">
        <f>[28]calculation!$C$10</f>
        <v>0</v>
      </c>
      <c r="I82" s="24">
        <f>[28]calculation!$S$7</f>
        <v>0</v>
      </c>
      <c r="J82" s="25">
        <f>[28]calculation!$E$10</f>
        <v>0</v>
      </c>
      <c r="K82" s="25">
        <f>[28]calculation!$G$10</f>
        <v>0</v>
      </c>
      <c r="L82" s="149">
        <f>[28]calculation!$G$7</f>
        <v>728</v>
      </c>
      <c r="M82" s="5">
        <f>[28]calculation!$E$7</f>
        <v>1800</v>
      </c>
      <c r="N82" s="5">
        <f>[28]calculation!$C$22</f>
        <v>21600</v>
      </c>
      <c r="O82" s="5">
        <f>[28]calculation!$C$42</f>
        <v>5607.9500000000007</v>
      </c>
      <c r="P82" s="5">
        <f>[28]calculation!$C$44</f>
        <v>15992.05</v>
      </c>
      <c r="Q82" s="6">
        <f>[28]calculation!$G$43</f>
        <v>0.26653416666666663</v>
      </c>
      <c r="R82" s="185" t="e">
        <f>[28]calculation!$G$41</f>
        <v>#DIV/0!</v>
      </c>
      <c r="S82" s="185" t="e">
        <f>[28]calculation!$G$42</f>
        <v>#DIV/0!</v>
      </c>
      <c r="T82" s="5">
        <f>[28]calculation!$G$34*12</f>
        <v>0</v>
      </c>
      <c r="U82" s="5">
        <f>[28]calculation!$C$28/12</f>
        <v>90</v>
      </c>
      <c r="V82" s="5">
        <f>[28]calculation!$G$37</f>
        <v>171.10833333333335</v>
      </c>
      <c r="W82" s="5">
        <f t="shared" si="20"/>
        <v>2053.3000000000002</v>
      </c>
      <c r="X82" s="5">
        <f>[28]calculation!$O$7</f>
        <v>0</v>
      </c>
      <c r="Y82" s="35">
        <v>1</v>
      </c>
      <c r="Z82" s="5">
        <f>V82*Y82</f>
        <v>171.10833333333335</v>
      </c>
      <c r="AA82" s="5">
        <f>Z82*12</f>
        <v>2053.3000000000002</v>
      </c>
      <c r="AB82" s="1"/>
    </row>
    <row r="83" spans="1:28" s="2" customFormat="1" ht="14.25" customHeight="1" x14ac:dyDescent="0.25">
      <c r="A83" s="142"/>
      <c r="B83" s="40"/>
      <c r="C83" s="41"/>
      <c r="D83" s="41"/>
      <c r="E83" s="41"/>
      <c r="F83" s="41"/>
      <c r="G83" s="41"/>
      <c r="H83" s="41"/>
      <c r="I83" s="41"/>
      <c r="J83" s="41"/>
      <c r="K83" s="108"/>
      <c r="L83" s="41"/>
      <c r="M83" s="41"/>
      <c r="N83" s="41"/>
      <c r="O83" s="46"/>
      <c r="P83" s="46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1"/>
    </row>
    <row r="84" spans="1:28" s="2" customFormat="1" ht="14.25" customHeight="1" x14ac:dyDescent="0.25">
      <c r="A84" s="142">
        <v>8</v>
      </c>
      <c r="B84" s="151" t="s">
        <v>165</v>
      </c>
      <c r="C84" s="21">
        <f>[29]calculation!$C$10</f>
        <v>2</v>
      </c>
      <c r="D84" s="22">
        <f t="shared" ref="D84:D88" si="21">C84-H84</f>
        <v>2</v>
      </c>
      <c r="E84" s="22">
        <f>[29]calculation!$R$8</f>
        <v>1560</v>
      </c>
      <c r="F84" s="23">
        <f>[29]calculation!$E$10</f>
        <v>1</v>
      </c>
      <c r="G84" s="23">
        <f>[29]calculation!$G$10</f>
        <v>1</v>
      </c>
      <c r="H84" s="26">
        <f>[29]calculation!$C$11</f>
        <v>0</v>
      </c>
      <c r="I84" s="24">
        <f>[29]calculation!$S$8</f>
        <v>0</v>
      </c>
      <c r="J84" s="25">
        <f>[29]calculation!$E$11</f>
        <v>0</v>
      </c>
      <c r="K84" s="25">
        <f>[29]calculation!$G$11</f>
        <v>0</v>
      </c>
      <c r="L84" s="149">
        <f>[29]calculation!$G$8</f>
        <v>1560</v>
      </c>
      <c r="M84" s="5">
        <f>[29]calculation!$E$8</f>
        <v>3600</v>
      </c>
      <c r="N84" s="5">
        <f>[29]calculation!$C$23</f>
        <v>43200</v>
      </c>
      <c r="O84" s="5">
        <f>[29]calculation!$C$43</f>
        <v>8524.9599999999991</v>
      </c>
      <c r="P84" s="5">
        <f>[29]calculation!$C$45</f>
        <v>34675.040000000001</v>
      </c>
      <c r="Q84" s="6">
        <f>[29]calculation!$G$44</f>
        <v>0.79712735632183906</v>
      </c>
      <c r="R84" s="185" t="e">
        <f>[29]calculation!$G$42</f>
        <v>#DIV/0!</v>
      </c>
      <c r="S84" s="185" t="e">
        <f>[29]calculation!$G$43</f>
        <v>#DIV/0!</v>
      </c>
      <c r="T84" s="5">
        <f>[29]calculation!$G$35*12</f>
        <v>0</v>
      </c>
      <c r="U84" s="5">
        <f>[29]calculation!$C$29/12</f>
        <v>216</v>
      </c>
      <c r="V84" s="5">
        <f>[29]calculation!$G$38</f>
        <v>1773.9616666666664</v>
      </c>
      <c r="W84" s="5">
        <f t="shared" ref="W84:W88" si="22">V84*12</f>
        <v>21287.539999999997</v>
      </c>
      <c r="X84" s="5">
        <f>[29]calculation!$O$8</f>
        <v>0</v>
      </c>
      <c r="Y84" s="35">
        <v>1</v>
      </c>
      <c r="Z84" s="5">
        <f>V84*Y84</f>
        <v>1773.9616666666664</v>
      </c>
      <c r="AA84" s="5">
        <f>Z84*12</f>
        <v>21287.539999999997</v>
      </c>
      <c r="AB84" s="1"/>
    </row>
    <row r="85" spans="1:28" s="2" customFormat="1" ht="14.25" customHeight="1" x14ac:dyDescent="0.25">
      <c r="A85" s="142">
        <v>9</v>
      </c>
      <c r="B85" s="151" t="s">
        <v>166</v>
      </c>
      <c r="C85" s="21">
        <f>[30]calculation!$C$9</f>
        <v>1</v>
      </c>
      <c r="D85" s="22">
        <f t="shared" si="21"/>
        <v>1</v>
      </c>
      <c r="E85" s="22">
        <f>[30]calculation!$R$7</f>
        <v>1560</v>
      </c>
      <c r="F85" s="23">
        <f>[30]calculation!$E$9</f>
        <v>1</v>
      </c>
      <c r="G85" s="23">
        <f>[30]calculation!$G$9</f>
        <v>1</v>
      </c>
      <c r="H85" s="26">
        <f>[30]calculation!$C$10</f>
        <v>0</v>
      </c>
      <c r="I85" s="24">
        <f>[30]calculation!$S$7</f>
        <v>0</v>
      </c>
      <c r="J85" s="25">
        <f>[30]calculation!$E$10</f>
        <v>0</v>
      </c>
      <c r="K85" s="25">
        <f>[30]calculation!$G$10</f>
        <v>0</v>
      </c>
      <c r="L85" s="149">
        <f>[30]calculation!$G$7</f>
        <v>1560</v>
      </c>
      <c r="M85" s="5">
        <f>[30]calculation!$E$7</f>
        <v>2800</v>
      </c>
      <c r="N85" s="5">
        <f>[30]calculation!$C$22</f>
        <v>33600</v>
      </c>
      <c r="O85" s="5">
        <f>[30]calculation!$C$42</f>
        <v>7732.6</v>
      </c>
      <c r="P85" s="5">
        <f>[30]calculation!$C$44</f>
        <v>25867.4</v>
      </c>
      <c r="Q85" s="6">
        <f>[30]calculation!$G$43</f>
        <v>1.0346960000000001</v>
      </c>
      <c r="R85" s="185" t="e">
        <f>[30]calculation!$G$41</f>
        <v>#DIV/0!</v>
      </c>
      <c r="S85" s="185" t="e">
        <f>[30]calculation!$G$42</f>
        <v>#DIV/0!</v>
      </c>
      <c r="T85" s="5">
        <f>[30]calculation!$G$34*12</f>
        <v>0</v>
      </c>
      <c r="U85" s="5">
        <f>[30]calculation!$C$28/12</f>
        <v>168</v>
      </c>
      <c r="V85" s="5">
        <f>[30]calculation!$G$37</f>
        <v>668.11666666666679</v>
      </c>
      <c r="W85" s="5">
        <f t="shared" si="22"/>
        <v>8017.4000000000015</v>
      </c>
      <c r="X85" s="5">
        <f>[30]calculation!$O$7</f>
        <v>0</v>
      </c>
      <c r="Y85" s="35">
        <v>1</v>
      </c>
      <c r="Z85" s="5">
        <f>V85*Y85</f>
        <v>668.11666666666679</v>
      </c>
      <c r="AA85" s="5">
        <f>Z85*12</f>
        <v>8017.4000000000015</v>
      </c>
      <c r="AB85" s="1"/>
    </row>
    <row r="86" spans="1:28" s="2" customFormat="1" ht="14.25" customHeight="1" x14ac:dyDescent="0.25">
      <c r="A86" s="142">
        <v>10</v>
      </c>
      <c r="B86" s="156" t="s">
        <v>167</v>
      </c>
      <c r="C86" s="21">
        <f>[31]calculation!$C$10</f>
        <v>2</v>
      </c>
      <c r="D86" s="22">
        <f t="shared" si="21"/>
        <v>2</v>
      </c>
      <c r="E86" s="22">
        <f>[31]calculation!$R$8</f>
        <v>1860</v>
      </c>
      <c r="F86" s="23">
        <f>[31]calculation!$E$10</f>
        <v>1</v>
      </c>
      <c r="G86" s="23">
        <f>[31]calculation!$G$10</f>
        <v>1</v>
      </c>
      <c r="H86" s="26">
        <f>[31]calculation!$C$11</f>
        <v>0</v>
      </c>
      <c r="I86" s="24">
        <f>[31]calculation!$S$8</f>
        <v>0</v>
      </c>
      <c r="J86" s="25">
        <f>[31]calculation!$E$11</f>
        <v>0</v>
      </c>
      <c r="K86" s="25">
        <f>[31]calculation!$G$11</f>
        <v>0</v>
      </c>
      <c r="L86" s="149">
        <f>[31]calculation!$G$8</f>
        <v>1860</v>
      </c>
      <c r="M86" s="5">
        <f>[31]calculation!$E$8</f>
        <v>3600</v>
      </c>
      <c r="N86" s="5">
        <f>[31]calculation!$C$23</f>
        <v>43200</v>
      </c>
      <c r="O86" s="5">
        <f>[31]calculation!$C$43</f>
        <v>10868.43</v>
      </c>
      <c r="P86" s="5">
        <f>[31]calculation!$C$45</f>
        <v>32331.57</v>
      </c>
      <c r="Q86" s="6">
        <f>[31]calculation!$G$44</f>
        <v>0.53002573770491801</v>
      </c>
      <c r="R86" s="185" t="e">
        <f>[31]calculation!$G$42</f>
        <v>#DIV/0!</v>
      </c>
      <c r="S86" s="185" t="e">
        <f>[31]calculation!$G$43</f>
        <v>#DIV/0!</v>
      </c>
      <c r="T86" s="5">
        <f>[31]calculation!$G$35*12</f>
        <v>0</v>
      </c>
      <c r="U86" s="5">
        <f>[31]calculation!$C$29/12</f>
        <v>216</v>
      </c>
      <c r="V86" s="5">
        <f>[31]calculation!$G$38</f>
        <v>791.17250000000013</v>
      </c>
      <c r="W86" s="5">
        <f t="shared" si="22"/>
        <v>9494.0700000000015</v>
      </c>
      <c r="X86" s="5">
        <f>[31]calculation!$O$8</f>
        <v>0</v>
      </c>
      <c r="Y86" s="35">
        <v>1</v>
      </c>
      <c r="Z86" s="5">
        <f>V86*Y86</f>
        <v>791.17250000000013</v>
      </c>
      <c r="AA86" s="5">
        <f>Z86*12</f>
        <v>9494.0700000000015</v>
      </c>
      <c r="AB86" s="1"/>
    </row>
    <row r="87" spans="1:28" s="2" customFormat="1" ht="14.25" customHeight="1" x14ac:dyDescent="0.25">
      <c r="A87" s="142">
        <v>11</v>
      </c>
      <c r="B87" s="151" t="s">
        <v>168</v>
      </c>
      <c r="C87" s="21">
        <f>[32]calculation!$C$9</f>
        <v>1</v>
      </c>
      <c r="D87" s="22">
        <f t="shared" si="21"/>
        <v>1</v>
      </c>
      <c r="E87" s="22">
        <f>[32]calculation!$R$7</f>
        <v>1104</v>
      </c>
      <c r="F87" s="23">
        <f>[32]calculation!$E$9</f>
        <v>1</v>
      </c>
      <c r="G87" s="23">
        <f>[32]calculation!$G$9</f>
        <v>1</v>
      </c>
      <c r="H87" s="26">
        <f>[32]calculation!$C$10</f>
        <v>0</v>
      </c>
      <c r="I87" s="24">
        <f>[32]calculation!$S$7</f>
        <v>0</v>
      </c>
      <c r="J87" s="25">
        <f>[32]calculation!$E$10</f>
        <v>0</v>
      </c>
      <c r="K87" s="25">
        <f>[32]calculation!$G$10</f>
        <v>0</v>
      </c>
      <c r="L87" s="149">
        <f>[32]calculation!$G$6</f>
        <v>1104</v>
      </c>
      <c r="M87" s="5">
        <f>[32]calculation!$E$7</f>
        <v>2200</v>
      </c>
      <c r="N87" s="5">
        <f>[32]calculation!$C$22</f>
        <v>26400</v>
      </c>
      <c r="O87" s="5">
        <f>[32]calculation!$C$42</f>
        <v>8586.89</v>
      </c>
      <c r="P87" s="5">
        <f>[32]calculation!$C$44</f>
        <v>17813.11</v>
      </c>
      <c r="Q87" s="6">
        <f>[32]calculation!$G$43</f>
        <v>0.11955107382550335</v>
      </c>
      <c r="R87" s="185" t="str">
        <f>[32]calculation!$G$41</f>
        <v>N/A</v>
      </c>
      <c r="S87" s="185" t="str">
        <f>[32]calculation!$G$42</f>
        <v>N/A</v>
      </c>
      <c r="T87" s="5">
        <f>[32]calculation!$G$34*12</f>
        <v>0</v>
      </c>
      <c r="U87" s="5">
        <f>[32]calculation!$C$28/12</f>
        <v>132</v>
      </c>
      <c r="V87" s="5">
        <f>[32]calculation!$G$37</f>
        <v>171.92583333333346</v>
      </c>
      <c r="W87" s="5">
        <f t="shared" si="22"/>
        <v>2063.1100000000015</v>
      </c>
      <c r="X87" s="5">
        <f>[32]calculation!$O$7</f>
        <v>0</v>
      </c>
      <c r="Y87" s="35">
        <v>1</v>
      </c>
      <c r="Z87" s="5">
        <f>V87*Y87</f>
        <v>171.92583333333346</v>
      </c>
      <c r="AA87" s="5">
        <f>Z87*12</f>
        <v>2063.1100000000015</v>
      </c>
      <c r="AB87" s="1"/>
    </row>
    <row r="88" spans="1:28" s="2" customFormat="1" ht="14.25" customHeight="1" x14ac:dyDescent="0.25">
      <c r="A88" s="142">
        <v>12</v>
      </c>
      <c r="B88" s="151" t="s">
        <v>169</v>
      </c>
      <c r="C88" s="21">
        <f>[33]calculation!$C$10</f>
        <v>2</v>
      </c>
      <c r="D88" s="22">
        <f t="shared" si="21"/>
        <v>2</v>
      </c>
      <c r="E88" s="22">
        <f>[33]calculation!$R$8</f>
        <v>1660</v>
      </c>
      <c r="F88" s="23">
        <f>[33]calculation!$E$10</f>
        <v>1</v>
      </c>
      <c r="G88" s="23">
        <f>[33]calculation!$G$10</f>
        <v>1</v>
      </c>
      <c r="H88" s="26">
        <f>[33]calculation!$C$11</f>
        <v>0</v>
      </c>
      <c r="I88" s="24">
        <f>[33]calculation!$S$8</f>
        <v>0</v>
      </c>
      <c r="J88" s="25">
        <f>[33]calculation!$E$11</f>
        <v>0</v>
      </c>
      <c r="K88" s="25">
        <f>[33]calculation!$G$11</f>
        <v>0</v>
      </c>
      <c r="L88" s="149">
        <f>[33]calculation!$G$8</f>
        <v>1660</v>
      </c>
      <c r="M88" s="5">
        <f>[33]calculation!$E$8</f>
        <v>2800</v>
      </c>
      <c r="N88" s="5">
        <f>[33]calculation!$C$23</f>
        <v>33600</v>
      </c>
      <c r="O88" s="5">
        <f>[33]calculation!$C$43</f>
        <v>9363.4399999999987</v>
      </c>
      <c r="P88" s="5">
        <f>[33]calculation!$C$45</f>
        <v>24236.560000000001</v>
      </c>
      <c r="Q88" s="6">
        <f>[33]calculation!$G$44</f>
        <v>0.80788533333333334</v>
      </c>
      <c r="R88" s="185" t="e">
        <f>[33]calculation!$G$42</f>
        <v>#DIV/0!</v>
      </c>
      <c r="S88" s="185" t="e">
        <f>[33]calculation!$G$43</f>
        <v>#DIV/0!</v>
      </c>
      <c r="T88" s="5">
        <f>[33]calculation!$G$35*12</f>
        <v>0</v>
      </c>
      <c r="U88" s="5">
        <f>[33]calculation!$C$29/12</f>
        <v>168</v>
      </c>
      <c r="V88" s="5">
        <f>[33]calculation!$G$38</f>
        <v>904.08833333333337</v>
      </c>
      <c r="W88" s="5">
        <f t="shared" si="22"/>
        <v>10849.060000000001</v>
      </c>
      <c r="X88" s="5">
        <f>[33]calculation!$O$8</f>
        <v>0</v>
      </c>
      <c r="Y88" s="35">
        <v>1</v>
      </c>
      <c r="Z88" s="5">
        <f>V88*Y88</f>
        <v>904.08833333333337</v>
      </c>
      <c r="AA88" s="5">
        <f>Z88*12</f>
        <v>10849.060000000001</v>
      </c>
      <c r="AB88" s="1"/>
    </row>
    <row r="89" spans="1:28" s="2" customFormat="1" ht="14.25" customHeight="1" x14ac:dyDescent="0.25">
      <c r="A89" s="142"/>
      <c r="B89" s="40"/>
      <c r="C89" s="41"/>
      <c r="D89" s="41"/>
      <c r="E89" s="41"/>
      <c r="F89" s="41"/>
      <c r="G89" s="41"/>
      <c r="H89" s="41"/>
      <c r="I89" s="41"/>
      <c r="J89" s="41"/>
      <c r="K89" s="108"/>
      <c r="L89" s="41"/>
      <c r="M89" s="41"/>
      <c r="N89" s="41"/>
      <c r="O89" s="46"/>
      <c r="P89" s="46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1"/>
    </row>
    <row r="90" spans="1:28" s="2" customFormat="1" ht="14.25" customHeight="1" x14ac:dyDescent="0.25">
      <c r="A90" s="142">
        <v>13</v>
      </c>
      <c r="B90" s="151" t="s">
        <v>170</v>
      </c>
      <c r="C90" s="21">
        <f>[34]calculation!$C$10</f>
        <v>2</v>
      </c>
      <c r="D90" s="22">
        <f t="shared" ref="D90:D98" si="23">C90-H90</f>
        <v>2</v>
      </c>
      <c r="E90" s="22">
        <f>[34]calculation!$R$8</f>
        <v>1296</v>
      </c>
      <c r="F90" s="23">
        <f>[34]calculation!$E$10</f>
        <v>1</v>
      </c>
      <c r="G90" s="23">
        <f>[34]calculation!$G$10</f>
        <v>1</v>
      </c>
      <c r="H90" s="26">
        <f>[34]calculation!$C$11</f>
        <v>0</v>
      </c>
      <c r="I90" s="24">
        <f>[34]calculation!$S$8</f>
        <v>0</v>
      </c>
      <c r="J90" s="25">
        <f>[34]calculation!$E$11</f>
        <v>0</v>
      </c>
      <c r="K90" s="25">
        <f>[34]calculation!$G$11</f>
        <v>0</v>
      </c>
      <c r="L90" s="149">
        <f>[34]calculation!$G$8</f>
        <v>1296</v>
      </c>
      <c r="M90" s="5">
        <f>[34]calculation!$E$8</f>
        <v>3400</v>
      </c>
      <c r="N90" s="5">
        <f>[34]calculation!$C$23</f>
        <v>40800</v>
      </c>
      <c r="O90" s="5">
        <f>[34]calculation!$C$43</f>
        <v>8055.4400000000005</v>
      </c>
      <c r="P90" s="5">
        <f>[34]calculation!$C$45</f>
        <v>32744.559999999998</v>
      </c>
      <c r="Q90" s="6">
        <f>[34]calculation!$G$44</f>
        <v>0.93555885714285703</v>
      </c>
      <c r="R90" s="185" t="e">
        <f>[34]calculation!$G$42</f>
        <v>#DIV/0!</v>
      </c>
      <c r="S90" s="185" t="e">
        <f>[34]calculation!$G$43</f>
        <v>#DIV/0!</v>
      </c>
      <c r="T90" s="5">
        <f>[34]calculation!$G$35*12</f>
        <v>2454.243649653868</v>
      </c>
      <c r="U90" s="5">
        <f>[34]calculation!$C$29/12</f>
        <v>204</v>
      </c>
      <c r="V90" s="5">
        <f>[34]calculation!$G$38</f>
        <v>2070.9993791955108</v>
      </c>
      <c r="W90" s="5">
        <f t="shared" ref="W90:W98" si="24">V90*12</f>
        <v>24851.992550346127</v>
      </c>
      <c r="X90" s="5">
        <f>[34]calculation!$O$8</f>
        <v>0</v>
      </c>
      <c r="Y90" s="35">
        <v>1</v>
      </c>
      <c r="Z90" s="5">
        <f t="shared" ref="Z90:Z98" si="25">V90*Y90</f>
        <v>2070.9993791955108</v>
      </c>
      <c r="AA90" s="5">
        <f t="shared" ref="AA90:AA98" si="26">Z90*12</f>
        <v>24851.992550346127</v>
      </c>
      <c r="AB90" s="1"/>
    </row>
    <row r="91" spans="1:28" s="2" customFormat="1" ht="14.25" customHeight="1" x14ac:dyDescent="0.25">
      <c r="A91" s="142">
        <v>14</v>
      </c>
      <c r="B91" s="151" t="s">
        <v>171</v>
      </c>
      <c r="C91" s="21">
        <f>[35]calculation!$C$10</f>
        <v>2</v>
      </c>
      <c r="D91" s="22">
        <f t="shared" si="23"/>
        <v>2</v>
      </c>
      <c r="E91" s="22">
        <f>[35]calculation!$R$8</f>
        <v>1050</v>
      </c>
      <c r="F91" s="23">
        <f>[35]calculation!$E$10</f>
        <v>1</v>
      </c>
      <c r="G91" s="23">
        <f>[35]calculation!$G$10</f>
        <v>1</v>
      </c>
      <c r="H91" s="26">
        <f>[35]calculation!$C$11</f>
        <v>0</v>
      </c>
      <c r="I91" s="24">
        <f>[35]calculation!$S$8</f>
        <v>0</v>
      </c>
      <c r="J91" s="25">
        <f>[35]calculation!$E$11</f>
        <v>0</v>
      </c>
      <c r="K91" s="25">
        <f>[35]calculation!$G$11</f>
        <v>0</v>
      </c>
      <c r="L91" s="149">
        <f>[35]calculation!$G$8</f>
        <v>1050</v>
      </c>
      <c r="M91" s="5">
        <f>[35]calculation!$E$8</f>
        <v>2800</v>
      </c>
      <c r="N91" s="5">
        <f>[35]calculation!$C$23</f>
        <v>33600</v>
      </c>
      <c r="O91" s="5">
        <f>[35]calculation!$C$43</f>
        <v>10837.8</v>
      </c>
      <c r="P91" s="5">
        <f>[35]calculation!$C$45</f>
        <v>22762.2</v>
      </c>
      <c r="Q91" s="6">
        <f>[35]calculation!$G$44</f>
        <v>0.33973432835820899</v>
      </c>
      <c r="R91" s="185" t="e">
        <f>[35]calculation!$G$42</f>
        <v>#DIV/0!</v>
      </c>
      <c r="S91" s="185" t="e">
        <f>[35]calculation!$G$43</f>
        <v>#DIV/0!</v>
      </c>
      <c r="T91" s="5">
        <f>[35]calculation!$G$35*12</f>
        <v>2423.2036122381664</v>
      </c>
      <c r="U91" s="5">
        <f>[35]calculation!$C$29/12</f>
        <v>168</v>
      </c>
      <c r="V91" s="5">
        <f>[35]calculation!$G$38</f>
        <v>1247.4544806468198</v>
      </c>
      <c r="W91" s="5">
        <f t="shared" si="24"/>
        <v>14969.453767761837</v>
      </c>
      <c r="X91" s="5">
        <f>[35]calculation!$O$8</f>
        <v>0</v>
      </c>
      <c r="Y91" s="35">
        <v>1</v>
      </c>
      <c r="Z91" s="5">
        <f t="shared" si="25"/>
        <v>1247.4544806468198</v>
      </c>
      <c r="AA91" s="5">
        <f t="shared" si="26"/>
        <v>14969.453767761837</v>
      </c>
      <c r="AB91" s="1"/>
    </row>
    <row r="92" spans="1:28" s="2" customFormat="1" ht="14.25" customHeight="1" x14ac:dyDescent="0.25">
      <c r="A92" s="142">
        <v>15</v>
      </c>
      <c r="B92" s="151" t="s">
        <v>172</v>
      </c>
      <c r="C92" s="21">
        <f>[36]calculation!$C$10</f>
        <v>2</v>
      </c>
      <c r="D92" s="22">
        <f t="shared" si="23"/>
        <v>2</v>
      </c>
      <c r="E92" s="22">
        <f>[36]calculation!$R$8</f>
        <v>1589</v>
      </c>
      <c r="F92" s="23">
        <f>[36]calculation!$E$10</f>
        <v>1</v>
      </c>
      <c r="G92" s="23">
        <f>[36]calculation!$G$10</f>
        <v>1</v>
      </c>
      <c r="H92" s="26">
        <f>[36]calculation!$C$11</f>
        <v>0</v>
      </c>
      <c r="I92" s="24">
        <f>[36]calculation!$S$8</f>
        <v>0</v>
      </c>
      <c r="J92" s="25">
        <f>[36]calculation!$E$11</f>
        <v>0</v>
      </c>
      <c r="K92" s="25">
        <f>[36]calculation!$G$11</f>
        <v>0</v>
      </c>
      <c r="L92" s="149">
        <f>[36]calculation!$G$8</f>
        <v>1589</v>
      </c>
      <c r="M92" s="5">
        <f>[36]calculation!$E$8</f>
        <v>3400</v>
      </c>
      <c r="N92" s="5">
        <f>[36]calculation!$C$23</f>
        <v>40800</v>
      </c>
      <c r="O92" s="5">
        <f>[36]calculation!$C$43</f>
        <v>10484.040000000001</v>
      </c>
      <c r="P92" s="5">
        <f>[36]calculation!$C$45</f>
        <v>30315.96</v>
      </c>
      <c r="Q92" s="6">
        <f>[36]calculation!$G$44</f>
        <v>0.37894949999999999</v>
      </c>
      <c r="R92" s="185" t="e">
        <f>[36]calculation!$G$42</f>
        <v>#DIV/0!</v>
      </c>
      <c r="S92" s="185" t="e">
        <f>[36]calculation!$G$43</f>
        <v>#DIV/0!</v>
      </c>
      <c r="T92" s="5">
        <f>[36]calculation!$G$35*12</f>
        <v>2495.3840809594808</v>
      </c>
      <c r="U92" s="5">
        <f>[36]calculation!$C$29/12</f>
        <v>170</v>
      </c>
      <c r="V92" s="5">
        <f>[36]calculation!$G$38</f>
        <v>1857.5908015867099</v>
      </c>
      <c r="W92" s="5">
        <f t="shared" si="24"/>
        <v>22291.089619040518</v>
      </c>
      <c r="X92" s="5">
        <f>[36]calculation!$O$8</f>
        <v>0</v>
      </c>
      <c r="Y92" s="35">
        <v>1</v>
      </c>
      <c r="Z92" s="5">
        <f t="shared" si="25"/>
        <v>1857.5908015867099</v>
      </c>
      <c r="AA92" s="5">
        <f t="shared" si="26"/>
        <v>22291.089619040518</v>
      </c>
      <c r="AB92" s="1"/>
    </row>
    <row r="93" spans="1:28" s="2" customFormat="1" ht="14.25" customHeight="1" x14ac:dyDescent="0.25">
      <c r="A93" s="142">
        <v>16</v>
      </c>
      <c r="B93" s="151" t="s">
        <v>175</v>
      </c>
      <c r="C93" s="21">
        <f>[37]calculation!$C$10</f>
        <v>2</v>
      </c>
      <c r="D93" s="22">
        <f t="shared" si="23"/>
        <v>2</v>
      </c>
      <c r="E93" s="22">
        <f>[37]calculation!$R$8</f>
        <v>1860</v>
      </c>
      <c r="F93" s="23">
        <f>[37]calculation!$E$10</f>
        <v>1</v>
      </c>
      <c r="G93" s="23">
        <f>[37]calculation!$G$10</f>
        <v>1</v>
      </c>
      <c r="H93" s="26">
        <f>[37]calculation!$C$11</f>
        <v>0</v>
      </c>
      <c r="I93" s="24">
        <f>[37]calculation!$S$8</f>
        <v>0</v>
      </c>
      <c r="J93" s="25">
        <f>[37]calculation!$E$11</f>
        <v>0</v>
      </c>
      <c r="K93" s="25">
        <f>[37]calculation!$G$11</f>
        <v>0</v>
      </c>
      <c r="L93" s="149">
        <f>[37]calculation!$E$8</f>
        <v>3600</v>
      </c>
      <c r="M93" s="5">
        <f>[37]calculation!$E$8</f>
        <v>3600</v>
      </c>
      <c r="N93" s="5">
        <f>[37]calculation!$C$23</f>
        <v>43200</v>
      </c>
      <c r="O93" s="5">
        <f>[37]calculation!$C$43</f>
        <v>10421.33</v>
      </c>
      <c r="P93" s="5">
        <f>[37]calculation!$C$45</f>
        <v>32778.67</v>
      </c>
      <c r="Q93" s="6">
        <f>[37]calculation!$G$44</f>
        <v>0.24101963235294116</v>
      </c>
      <c r="R93" s="185" t="e">
        <f>[37]calculation!$G$42</f>
        <v>#DIV/0!</v>
      </c>
      <c r="S93" s="185" t="e">
        <f>[37]calculation!$G$43</f>
        <v>#DIV/0!</v>
      </c>
      <c r="T93" s="5">
        <f>[37]calculation!$G$35*12</f>
        <v>3505.9116990689281</v>
      </c>
      <c r="U93" s="5">
        <f>[37]calculation!$C$29/12</f>
        <v>216</v>
      </c>
      <c r="V93" s="5">
        <f>[37]calculation!$G$38</f>
        <v>1792.0048450775894</v>
      </c>
      <c r="W93" s="5">
        <f t="shared" si="24"/>
        <v>21504.058140931073</v>
      </c>
      <c r="X93" s="5">
        <f>[37]calculation!$O$8</f>
        <v>0</v>
      </c>
      <c r="Y93" s="35">
        <v>1</v>
      </c>
      <c r="Z93" s="5">
        <f t="shared" si="25"/>
        <v>1792.0048450775894</v>
      </c>
      <c r="AA93" s="5">
        <f t="shared" si="26"/>
        <v>21504.058140931073</v>
      </c>
      <c r="AB93" s="1"/>
    </row>
    <row r="94" spans="1:28" s="2" customFormat="1" ht="14.25" customHeight="1" x14ac:dyDescent="0.25">
      <c r="A94" s="142">
        <v>17</v>
      </c>
      <c r="B94" s="151" t="s">
        <v>173</v>
      </c>
      <c r="C94" s="21">
        <f>[38]calculation!$C$10</f>
        <v>2</v>
      </c>
      <c r="D94" s="22">
        <f t="shared" si="23"/>
        <v>2</v>
      </c>
      <c r="E94" s="22">
        <f>[38]calculation!$R$8</f>
        <v>1860</v>
      </c>
      <c r="F94" s="23">
        <f>[38]calculation!$E$10</f>
        <v>1</v>
      </c>
      <c r="G94" s="23">
        <f>[38]calculation!$G$10</f>
        <v>1</v>
      </c>
      <c r="H94" s="26">
        <f>[38]calculation!$C$11</f>
        <v>0</v>
      </c>
      <c r="I94" s="24">
        <f>[38]calculation!$S$8</f>
        <v>0</v>
      </c>
      <c r="J94" s="25">
        <f>[38]calculation!$E$11</f>
        <v>0</v>
      </c>
      <c r="K94" s="25">
        <f>[38]calculation!$G$11</f>
        <v>0</v>
      </c>
      <c r="L94" s="149">
        <f>[38]calculation!$G$8</f>
        <v>1860</v>
      </c>
      <c r="M94" s="5">
        <f>[38]calculation!$E$8</f>
        <v>3600</v>
      </c>
      <c r="N94" s="5">
        <f>[38]calculation!$C$23</f>
        <v>43200</v>
      </c>
      <c r="O94" s="5">
        <f>[38]calculation!$C$43</f>
        <v>8866.1200000000008</v>
      </c>
      <c r="P94" s="5">
        <f>[38]calculation!$C$45</f>
        <v>34333.879999999997</v>
      </c>
      <c r="Q94" s="6">
        <f>[38]calculation!$G$44</f>
        <v>1.040420606060606</v>
      </c>
      <c r="R94" s="185" t="e">
        <f>[38]calculation!$G$42</f>
        <v>#DIV/0!</v>
      </c>
      <c r="S94" s="185" t="e">
        <f>[38]calculation!$G$43</f>
        <v>#DIV/0!</v>
      </c>
      <c r="T94" s="5">
        <f>[38]calculation!$G$35*12</f>
        <v>3505.9116990689281</v>
      </c>
      <c r="U94" s="5">
        <f>[38]calculation!$C$29/12</f>
        <v>216</v>
      </c>
      <c r="V94" s="5">
        <f>[38]calculation!$G$38</f>
        <v>1921.6056784109223</v>
      </c>
      <c r="W94" s="5">
        <f t="shared" si="24"/>
        <v>23059.268140931068</v>
      </c>
      <c r="X94" s="5">
        <f>[38]calculation!$O$8</f>
        <v>0</v>
      </c>
      <c r="Y94" s="35">
        <v>1</v>
      </c>
      <c r="Z94" s="5">
        <f t="shared" si="25"/>
        <v>1921.6056784109223</v>
      </c>
      <c r="AA94" s="5">
        <f t="shared" si="26"/>
        <v>23059.268140931068</v>
      </c>
      <c r="AB94" s="1"/>
    </row>
    <row r="95" spans="1:28" s="2" customFormat="1" ht="14.25" customHeight="1" x14ac:dyDescent="0.25">
      <c r="A95" s="142">
        <v>18</v>
      </c>
      <c r="B95" s="151" t="s">
        <v>174</v>
      </c>
      <c r="C95" s="21">
        <f>[39]calculation!$C$10</f>
        <v>2</v>
      </c>
      <c r="D95" s="22">
        <f t="shared" si="23"/>
        <v>2</v>
      </c>
      <c r="E95" s="22">
        <f>[39]calculation!$R$8</f>
        <v>1860</v>
      </c>
      <c r="F95" s="23">
        <f>[39]calculation!$E$10</f>
        <v>1</v>
      </c>
      <c r="G95" s="23">
        <f>[39]calculation!$G$10</f>
        <v>1</v>
      </c>
      <c r="H95" s="26">
        <f>[39]calculation!$C$11</f>
        <v>0</v>
      </c>
      <c r="I95" s="24">
        <f>[39]calculation!$S$8</f>
        <v>0</v>
      </c>
      <c r="J95" s="25">
        <f>[39]calculation!$E$11</f>
        <v>0</v>
      </c>
      <c r="K95" s="25">
        <f>[39]calculation!$G$11</f>
        <v>0</v>
      </c>
      <c r="L95" s="149">
        <f>[39]calculation!$G$8</f>
        <v>1860</v>
      </c>
      <c r="M95" s="5">
        <f>[39]calculation!$E$8</f>
        <v>3600</v>
      </c>
      <c r="N95" s="5">
        <f>[39]calculation!$C$23</f>
        <v>43200</v>
      </c>
      <c r="O95" s="5">
        <f>[39]calculation!$C$43</f>
        <v>10920.97</v>
      </c>
      <c r="P95" s="5">
        <f>[39]calculation!$C$45</f>
        <v>32279.03</v>
      </c>
      <c r="Q95" s="6">
        <f>[39]calculation!$G$44</f>
        <v>0.43038706666666665</v>
      </c>
      <c r="R95" s="185" t="e">
        <f>[39]calculation!$G$42</f>
        <v>#DIV/0!</v>
      </c>
      <c r="S95" s="185" t="e">
        <f>[39]calculation!$G$43</f>
        <v>#DIV/0!</v>
      </c>
      <c r="T95" s="5">
        <f>[39]calculation!$G$35*12</f>
        <v>3505.9116990689281</v>
      </c>
      <c r="U95" s="5">
        <f>[39]calculation!$C$29/12</f>
        <v>216</v>
      </c>
      <c r="V95" s="5">
        <f>[39]calculation!$G$38</f>
        <v>1750.3681784109226</v>
      </c>
      <c r="W95" s="5">
        <f t="shared" si="24"/>
        <v>21004.41814093107</v>
      </c>
      <c r="X95" s="5">
        <v>0</v>
      </c>
      <c r="Y95" s="35">
        <v>1</v>
      </c>
      <c r="Z95" s="5">
        <f t="shared" si="25"/>
        <v>1750.3681784109226</v>
      </c>
      <c r="AA95" s="5">
        <f t="shared" si="26"/>
        <v>21004.41814093107</v>
      </c>
      <c r="AB95" s="1"/>
    </row>
    <row r="96" spans="1:28" s="2" customFormat="1" ht="14.25" customHeight="1" x14ac:dyDescent="0.25">
      <c r="A96" s="142">
        <v>19</v>
      </c>
      <c r="B96" s="151" t="s">
        <v>176</v>
      </c>
      <c r="C96" s="21">
        <f>[40]calculation!$C$10</f>
        <v>2</v>
      </c>
      <c r="D96" s="22">
        <f t="shared" si="23"/>
        <v>2</v>
      </c>
      <c r="E96" s="22">
        <f>[40]calculation!$R$8</f>
        <v>1860</v>
      </c>
      <c r="F96" s="23">
        <f>[40]calculation!$E$10</f>
        <v>1</v>
      </c>
      <c r="G96" s="23">
        <f>[40]calculation!$G$10</f>
        <v>1</v>
      </c>
      <c r="H96" s="26">
        <f>[40]calculation!$C$11</f>
        <v>0</v>
      </c>
      <c r="I96" s="24">
        <f>[40]calculation!$S$8</f>
        <v>0</v>
      </c>
      <c r="J96" s="25">
        <f>[40]calculation!$E$11</f>
        <v>0</v>
      </c>
      <c r="K96" s="25">
        <f>[40]calculation!$G$11</f>
        <v>0</v>
      </c>
      <c r="L96" s="149">
        <f>[40]calculation!$G$8</f>
        <v>1860</v>
      </c>
      <c r="M96" s="5">
        <f>[40]calculation!$E$8</f>
        <v>3600</v>
      </c>
      <c r="N96" s="5">
        <f>[40]calculation!$C$23</f>
        <v>43200</v>
      </c>
      <c r="O96" s="5">
        <f>[40]calculation!$C$43</f>
        <v>11275.53</v>
      </c>
      <c r="P96" s="5">
        <f>[40]calculation!$C$45</f>
        <v>31924.47</v>
      </c>
      <c r="Q96" s="6">
        <f>[40]calculation!$G$44</f>
        <v>0.37558200000000003</v>
      </c>
      <c r="R96" s="185" t="e">
        <f>[40]calculation!$G$42</f>
        <v>#DIV/0!</v>
      </c>
      <c r="S96" s="185" t="e">
        <f>[40]calculation!$G$43</f>
        <v>#DIV/0!</v>
      </c>
      <c r="T96" s="5">
        <f>[40]calculation!$G$35*12</f>
        <v>3505.9116990689281</v>
      </c>
      <c r="U96" s="5">
        <f>[40]calculation!$C$29/12</f>
        <v>216</v>
      </c>
      <c r="V96" s="5">
        <f>[40]calculation!$G$38</f>
        <v>1720.821511744256</v>
      </c>
      <c r="W96" s="5">
        <f t="shared" si="24"/>
        <v>20649.858140931072</v>
      </c>
      <c r="X96" s="5">
        <f>[40]calculation!$O$8</f>
        <v>0</v>
      </c>
      <c r="Y96" s="35">
        <v>1</v>
      </c>
      <c r="Z96" s="5">
        <f t="shared" si="25"/>
        <v>1720.821511744256</v>
      </c>
      <c r="AA96" s="5">
        <f t="shared" si="26"/>
        <v>20649.858140931072</v>
      </c>
      <c r="AB96" s="1"/>
    </row>
    <row r="97" spans="1:28" s="2" customFormat="1" ht="14.25" customHeight="1" x14ac:dyDescent="0.25">
      <c r="A97" s="142">
        <v>20</v>
      </c>
      <c r="B97" s="151" t="s">
        <v>177</v>
      </c>
      <c r="C97" s="21">
        <f>[41]calculation!$C$12</f>
        <v>4</v>
      </c>
      <c r="D97" s="22">
        <f t="shared" si="23"/>
        <v>4</v>
      </c>
      <c r="E97" s="22">
        <f>[41]calculation!$R$10</f>
        <v>3024</v>
      </c>
      <c r="F97" s="23">
        <f>[41]calculation!$E$12</f>
        <v>1</v>
      </c>
      <c r="G97" s="23">
        <f>[41]calculation!$G$12</f>
        <v>1</v>
      </c>
      <c r="H97" s="26">
        <f>[41]calculation!$C$13</f>
        <v>0</v>
      </c>
      <c r="I97" s="24">
        <f>[41]calculation!$S$10</f>
        <v>0</v>
      </c>
      <c r="J97" s="25">
        <f>[41]calculation!$E$13</f>
        <v>0</v>
      </c>
      <c r="K97" s="25">
        <f>[41]calculation!$G$13</f>
        <v>0</v>
      </c>
      <c r="L97" s="149">
        <f>[41]calculation!$G$10</f>
        <v>3024</v>
      </c>
      <c r="M97" s="5">
        <f>[41]calculation!$E$10</f>
        <v>6100</v>
      </c>
      <c r="N97" s="5">
        <f>[41]calculation!$C$25</f>
        <v>73200</v>
      </c>
      <c r="O97" s="5">
        <f>[41]calculation!$C$45</f>
        <v>17424.78</v>
      </c>
      <c r="P97" s="5">
        <f>[41]calculation!$C$47</f>
        <v>55775.22</v>
      </c>
      <c r="Q97" s="6">
        <f>[41]calculation!$G$46</f>
        <v>0.23989341935483871</v>
      </c>
      <c r="R97" s="185" t="e">
        <f>[41]calculation!$G$44</f>
        <v>#DIV/0!</v>
      </c>
      <c r="S97" s="185" t="e">
        <f>[41]calculation!$G$45</f>
        <v>#DIV/0!</v>
      </c>
      <c r="T97" s="5">
        <f>[41]calculation!$G$37*12</f>
        <v>5361.9821016296219</v>
      </c>
      <c r="U97" s="5">
        <f>[41]calculation!$C$31/12</f>
        <v>366</v>
      </c>
      <c r="V97" s="5">
        <f>[41]calculation!$G$40</f>
        <v>3210.974798197532</v>
      </c>
      <c r="W97" s="5">
        <f t="shared" si="24"/>
        <v>38531.697578370382</v>
      </c>
      <c r="X97" s="5">
        <f>[41]calculation!$O$10</f>
        <v>0</v>
      </c>
      <c r="Y97" s="35">
        <v>1</v>
      </c>
      <c r="Z97" s="5">
        <f t="shared" si="25"/>
        <v>3210.974798197532</v>
      </c>
      <c r="AA97" s="5">
        <f t="shared" si="26"/>
        <v>38531.697578370382</v>
      </c>
      <c r="AB97" s="1"/>
    </row>
    <row r="98" spans="1:28" s="2" customFormat="1" ht="14.25" customHeight="1" x14ac:dyDescent="0.25">
      <c r="A98" s="142">
        <v>21</v>
      </c>
      <c r="B98" s="151" t="s">
        <v>178</v>
      </c>
      <c r="C98" s="21">
        <f>[42]calculation!$C$12</f>
        <v>4</v>
      </c>
      <c r="D98" s="22">
        <f t="shared" si="23"/>
        <v>4</v>
      </c>
      <c r="E98" s="22">
        <f>[42]calculation!$R$10</f>
        <v>3024</v>
      </c>
      <c r="F98" s="23">
        <f>[42]calculation!$E$12</f>
        <v>1</v>
      </c>
      <c r="G98" s="23">
        <f>[42]calculation!$G$12</f>
        <v>1</v>
      </c>
      <c r="H98" s="26">
        <f>[42]calculation!$C$13</f>
        <v>0</v>
      </c>
      <c r="I98" s="24">
        <f>[42]calculation!$S$10</f>
        <v>0</v>
      </c>
      <c r="J98" s="25">
        <f>[42]calculation!$E$13</f>
        <v>0</v>
      </c>
      <c r="K98" s="25">
        <f>[42]calculation!$G$13</f>
        <v>0</v>
      </c>
      <c r="L98" s="149">
        <f>[42]calculation!$G$10</f>
        <v>3024</v>
      </c>
      <c r="M98" s="5">
        <f>[42]calculation!$E$10</f>
        <v>6100</v>
      </c>
      <c r="N98" s="5">
        <f>[42]calculation!$C$25</f>
        <v>73200</v>
      </c>
      <c r="O98" s="5">
        <f>[42]calculation!$C$45</f>
        <v>17424.79</v>
      </c>
      <c r="P98" s="5">
        <f>[42]calculation!$C$47</f>
        <v>55775.21</v>
      </c>
      <c r="Q98" s="6">
        <f>[42]calculation!$G$46</f>
        <v>1.0936315686274509</v>
      </c>
      <c r="R98" s="185" t="e">
        <f>[42]calculation!$G$44</f>
        <v>#DIV/0!</v>
      </c>
      <c r="S98" s="185" t="e">
        <f>[42]calculation!$G$45</f>
        <v>#DIV/0!</v>
      </c>
      <c r="T98" s="5">
        <f>[42]calculation!$G$37*12</f>
        <v>5361.9821016296219</v>
      </c>
      <c r="U98" s="5">
        <f>[42]calculation!$C$31/12</f>
        <v>366</v>
      </c>
      <c r="V98" s="5">
        <f>[42]calculation!$G$40</f>
        <v>3210.9739648641985</v>
      </c>
      <c r="W98" s="5">
        <f t="shared" si="24"/>
        <v>38531.68757837038</v>
      </c>
      <c r="X98" s="5">
        <f>[42]calculation!$O$10</f>
        <v>0</v>
      </c>
      <c r="Y98" s="35">
        <v>1</v>
      </c>
      <c r="Z98" s="5">
        <f t="shared" si="25"/>
        <v>3210.9739648641985</v>
      </c>
      <c r="AA98" s="5">
        <f t="shared" si="26"/>
        <v>38531.68757837038</v>
      </c>
      <c r="AB98" s="1"/>
    </row>
    <row r="99" spans="1:28" s="2" customFormat="1" ht="14.25" customHeight="1" x14ac:dyDescent="0.25">
      <c r="A99" s="142"/>
      <c r="B99" s="40"/>
      <c r="C99" s="41"/>
      <c r="D99" s="41"/>
      <c r="E99" s="41"/>
      <c r="F99" s="41"/>
      <c r="G99" s="41"/>
      <c r="H99" s="41"/>
      <c r="I99" s="41"/>
      <c r="J99" s="41"/>
      <c r="K99" s="108"/>
      <c r="L99" s="41"/>
      <c r="M99" s="41"/>
      <c r="N99" s="41"/>
      <c r="O99" s="46"/>
      <c r="P99" s="46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1"/>
    </row>
    <row r="100" spans="1:28" s="2" customFormat="1" ht="14.25" customHeight="1" thickBot="1" x14ac:dyDescent="0.3">
      <c r="A100" s="142">
        <v>22</v>
      </c>
      <c r="B100" s="155" t="s">
        <v>183</v>
      </c>
      <c r="C100" s="78">
        <f>[43]calculation!$C$10</f>
        <v>2</v>
      </c>
      <c r="D100" s="79">
        <f t="shared" ref="D100" si="27">C100-H100</f>
        <v>2</v>
      </c>
      <c r="E100" s="79">
        <f>[43]calculation!$R$8</f>
        <v>1300</v>
      </c>
      <c r="F100" s="80">
        <f>[43]calculation!$E$10</f>
        <v>1</v>
      </c>
      <c r="G100" s="80">
        <f>[43]calculation!$G$10</f>
        <v>1</v>
      </c>
      <c r="H100" s="81">
        <f>[43]calculation!$C$11</f>
        <v>0</v>
      </c>
      <c r="I100" s="153">
        <f>[43]calculation!$S$8</f>
        <v>0</v>
      </c>
      <c r="J100" s="82">
        <f>[43]calculation!$E$11</f>
        <v>0</v>
      </c>
      <c r="K100" s="82">
        <f>[43]calculation!$G$11</f>
        <v>0</v>
      </c>
      <c r="L100" s="154">
        <f>[43]calculation!$G$8</f>
        <v>1300</v>
      </c>
      <c r="M100" s="28">
        <f>[43]calculation!$E$8</f>
        <v>3000</v>
      </c>
      <c r="N100" s="28">
        <f>[43]calculation!$C$23</f>
        <v>36000</v>
      </c>
      <c r="O100" s="28">
        <f>[43]calculation!$C$43</f>
        <v>7894.57</v>
      </c>
      <c r="P100" s="28">
        <f>[43]calculation!$C$45</f>
        <v>28105.43</v>
      </c>
      <c r="Q100" s="91">
        <f>[43]calculation!$G$44</f>
        <v>0.22148746197613756</v>
      </c>
      <c r="R100" s="91">
        <f>[43]calculation!$G$42</f>
        <v>3.0034325142636207</v>
      </c>
      <c r="S100" s="91">
        <f>[43]calculation!$G$43</f>
        <v>3.2425356326260202</v>
      </c>
      <c r="T100" s="28">
        <f>[43]calculation!$G$35*12</f>
        <v>1398.6635787506557</v>
      </c>
      <c r="U100" s="28">
        <f>[43]calculation!$C$29/12</f>
        <v>180</v>
      </c>
      <c r="V100" s="28">
        <f>[43]calculation!$G$38</f>
        <v>1464.0794934374455</v>
      </c>
      <c r="W100" s="28">
        <f t="shared" ref="W100" si="28">V100*12</f>
        <v>17568.953921249347</v>
      </c>
      <c r="X100" s="28">
        <f>[43]calculation!$O$8</f>
        <v>0</v>
      </c>
      <c r="Y100" s="87">
        <v>0.5</v>
      </c>
      <c r="Z100" s="28">
        <f>V100*Y100</f>
        <v>732.03974671872277</v>
      </c>
      <c r="AA100" s="28">
        <f>Z100*12</f>
        <v>8784.4769606246737</v>
      </c>
      <c r="AB100" s="1"/>
    </row>
    <row r="101" spans="1:28" ht="14.25" customHeight="1" thickTop="1" x14ac:dyDescent="0.25">
      <c r="B101" s="14" t="s">
        <v>8</v>
      </c>
      <c r="C101" s="15">
        <f>SUM(C72:C100)</f>
        <v>39</v>
      </c>
      <c r="D101" s="15">
        <f>SUM(D72:D100)</f>
        <v>36</v>
      </c>
      <c r="E101" s="17">
        <f>SUM(E72:E100)</f>
        <v>31831</v>
      </c>
      <c r="F101" s="16">
        <f>AVERAGE(F72:F100)</f>
        <v>0.90909090909090906</v>
      </c>
      <c r="G101" s="16">
        <f>AVERAGE(G72:G100)</f>
        <v>0.86363636363636365</v>
      </c>
      <c r="H101" s="15">
        <f>SUM(H72:H100)</f>
        <v>3</v>
      </c>
      <c r="I101" s="17">
        <f>SUM(I72:I100)</f>
        <v>3496</v>
      </c>
      <c r="J101" s="16">
        <f>AVERAGE(J72:J100)</f>
        <v>9.0909090909090912E-2</v>
      </c>
      <c r="K101" s="16">
        <f>AVERAGE(K72:K100)</f>
        <v>0.13636363636363635</v>
      </c>
      <c r="L101" s="17">
        <f>SUM(L72:L100)</f>
        <v>37067</v>
      </c>
      <c r="M101" s="34">
        <f>SUM(M72:M100)</f>
        <v>64650</v>
      </c>
      <c r="N101" s="34">
        <f>SUM(N72:N100)</f>
        <v>775800</v>
      </c>
      <c r="O101" s="34">
        <f>SUM(O72:O100)</f>
        <v>215006.42</v>
      </c>
      <c r="P101" s="34">
        <f>SUM(P72:P100)</f>
        <v>560793.57999999996</v>
      </c>
      <c r="Q101" s="16">
        <f>AVERAGE(Q72:Q100)</f>
        <v>0.43336365048513931</v>
      </c>
      <c r="R101" s="16">
        <f>AVERAGE(R87,R74,R76,R78)</f>
        <v>-0.35703520989379794</v>
      </c>
      <c r="S101" s="16">
        <f>AVERAGE(S87,S74,S76,S78)</f>
        <v>-0.21532561401723052</v>
      </c>
      <c r="T101" s="161">
        <f>SUM(T72:T100)</f>
        <v>57679.412451033182</v>
      </c>
      <c r="U101" s="174">
        <f>SUM(U72:U100)</f>
        <v>3827</v>
      </c>
      <c r="V101" s="37">
        <f>SUM(V72:V100)</f>
        <v>19271.430087413901</v>
      </c>
      <c r="W101" s="37">
        <f>SUM(W72:W100)</f>
        <v>231257.16104896684</v>
      </c>
      <c r="X101" s="161">
        <f>SUM(X72:X100)</f>
        <v>7200</v>
      </c>
      <c r="Y101" s="16">
        <f>AVERAGE(Y72:Y100)</f>
        <v>0.97727272727272729</v>
      </c>
      <c r="Z101" s="37">
        <f>SUM(Z72:Z100)</f>
        <v>18539.390340695176</v>
      </c>
      <c r="AA101" s="37">
        <f>SUM(AA72:AA100)</f>
        <v>222472.68408834218</v>
      </c>
    </row>
    <row r="102" spans="1:28" ht="13.8" customHeight="1" x14ac:dyDescent="0.25">
      <c r="C102" s="8"/>
      <c r="D102" s="8"/>
      <c r="E102" s="8"/>
      <c r="F102" s="8" t="s">
        <v>9</v>
      </c>
      <c r="G102" s="8" t="s">
        <v>9</v>
      </c>
      <c r="H102" s="8"/>
      <c r="I102" s="8"/>
      <c r="J102" s="8" t="s">
        <v>9</v>
      </c>
      <c r="K102" s="8" t="s">
        <v>9</v>
      </c>
      <c r="L102" s="8"/>
      <c r="M102" s="8"/>
      <c r="N102" s="8"/>
      <c r="O102" s="8"/>
      <c r="P102" s="8"/>
      <c r="Q102" s="8" t="s">
        <v>9</v>
      </c>
      <c r="R102" s="8" t="s">
        <v>9</v>
      </c>
      <c r="S102" s="8" t="s">
        <v>9</v>
      </c>
      <c r="Y102" s="8" t="s">
        <v>9</v>
      </c>
    </row>
    <row r="103" spans="1:28" ht="13.8" customHeight="1" x14ac:dyDescent="0.25"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28" ht="13.8" customHeight="1" x14ac:dyDescent="0.25"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28" ht="49.2" customHeight="1" x14ac:dyDescent="0.25">
      <c r="C105" s="9" t="s">
        <v>0</v>
      </c>
      <c r="D105" s="9" t="s">
        <v>14</v>
      </c>
      <c r="E105" s="9" t="s">
        <v>15</v>
      </c>
      <c r="F105" s="9" t="s">
        <v>34</v>
      </c>
      <c r="G105" s="9" t="s">
        <v>35</v>
      </c>
      <c r="H105" s="9" t="s">
        <v>16</v>
      </c>
      <c r="I105" s="9" t="s">
        <v>17</v>
      </c>
      <c r="J105" s="9" t="s">
        <v>36</v>
      </c>
      <c r="K105" s="9" t="s">
        <v>37</v>
      </c>
      <c r="L105" s="9" t="s">
        <v>31</v>
      </c>
      <c r="M105" s="9" t="s">
        <v>1</v>
      </c>
      <c r="N105" s="9" t="s">
        <v>2</v>
      </c>
      <c r="O105" s="9" t="s">
        <v>12</v>
      </c>
      <c r="P105" s="9" t="s">
        <v>3</v>
      </c>
      <c r="Q105" s="9" t="s">
        <v>6</v>
      </c>
      <c r="R105" s="9" t="s">
        <v>7</v>
      </c>
      <c r="S105" s="9" t="s">
        <v>13</v>
      </c>
      <c r="T105" s="9" t="s">
        <v>146</v>
      </c>
      <c r="U105" s="9" t="s">
        <v>179</v>
      </c>
      <c r="V105" s="9" t="s">
        <v>38</v>
      </c>
      <c r="W105" s="9" t="s">
        <v>39</v>
      </c>
      <c r="X105" s="9" t="s">
        <v>18</v>
      </c>
      <c r="Y105" s="9" t="s">
        <v>187</v>
      </c>
      <c r="Z105" s="9" t="s">
        <v>188</v>
      </c>
      <c r="AA105" s="9" t="s">
        <v>189</v>
      </c>
    </row>
    <row r="106" spans="1:28" s="169" customFormat="1" ht="33.6" customHeight="1" x14ac:dyDescent="0.25">
      <c r="B106" s="160" t="s">
        <v>180</v>
      </c>
      <c r="C106" s="165">
        <f>C101+C67+C58+C34</f>
        <v>387</v>
      </c>
      <c r="D106" s="165">
        <f>D101+D67+D58+D34</f>
        <v>303</v>
      </c>
      <c r="E106" s="187">
        <f>E101+E67+E58+E34</f>
        <v>1470446</v>
      </c>
      <c r="F106" s="164">
        <f>AVERAGE(F101,F67,F58,F34)</f>
        <v>0.82102792264484281</v>
      </c>
      <c r="G106" s="164">
        <f>AVERAGE(G101,G67,G58,G34)</f>
        <v>0.81671736220585323</v>
      </c>
      <c r="H106" s="165">
        <f>H101+H67+H58+H34</f>
        <v>84</v>
      </c>
      <c r="I106" s="187">
        <f>I101+I67+I58+I34</f>
        <v>499502</v>
      </c>
      <c r="J106" s="164">
        <f>AVERAGE(J101,J67,J58,J34)</f>
        <v>0.14262905363274164</v>
      </c>
      <c r="K106" s="164">
        <f>AVERAGE(K101,K67,K58,K34)</f>
        <v>0.17024319944524552</v>
      </c>
      <c r="L106" s="187">
        <f>L101+L67+L58+L34</f>
        <v>1973688</v>
      </c>
      <c r="M106" s="161">
        <f>M101+M67+M58+M34</f>
        <v>753857.56</v>
      </c>
      <c r="N106" s="161">
        <f>N101+N67+N58+N34</f>
        <v>10258450.120000001</v>
      </c>
      <c r="O106" s="161">
        <f>O101+O67+O58+O34</f>
        <v>3361610.0971999997</v>
      </c>
      <c r="P106" s="161">
        <f>P101+P67+P58+P34</f>
        <v>6896840.0228000004</v>
      </c>
      <c r="Q106" s="164">
        <f>AVERAGE(Q101,Q67,Q58,Q34)</f>
        <v>0.1838384893270627</v>
      </c>
      <c r="R106" s="164">
        <f>AVERAGE(R58,R34)</f>
        <v>0.14728308076664742</v>
      </c>
      <c r="S106" s="164">
        <f>AVERAGE(S58,S34)</f>
        <v>0.19066349683049569</v>
      </c>
      <c r="T106" s="161">
        <f>T101+T67+T58+T34</f>
        <v>1022066.3857882717</v>
      </c>
      <c r="U106" s="175">
        <f>U101+U67+U58+U34</f>
        <v>35702.107600000003</v>
      </c>
      <c r="V106" s="166">
        <f>V101+V67+V58+V34</f>
        <v>226768.66739431067</v>
      </c>
      <c r="W106" s="166">
        <f>W101+W67+W58+W34</f>
        <v>2721224.0087317275</v>
      </c>
      <c r="X106" s="161">
        <f>X101+X67+X58+X34</f>
        <v>278950</v>
      </c>
      <c r="Y106" s="164">
        <f>AVERAGE(Y101,Y67,Y58,Y34)</f>
        <v>0.82573484848484846</v>
      </c>
      <c r="Z106" s="166">
        <f>Z101+Z67+Z58+Z34</f>
        <v>133087.43168689567</v>
      </c>
      <c r="AA106" s="166">
        <f>AA101+AA67+AA58+AA34</f>
        <v>1597049.1802427478</v>
      </c>
    </row>
    <row r="107" spans="1:28" ht="14.25" customHeight="1" x14ac:dyDescent="0.25">
      <c r="C107" s="8"/>
      <c r="D107" s="8"/>
      <c r="E107" s="8"/>
      <c r="F107" s="8" t="s">
        <v>9</v>
      </c>
      <c r="G107" s="8" t="s">
        <v>9</v>
      </c>
      <c r="H107" s="8"/>
      <c r="I107" s="8"/>
      <c r="J107" s="8" t="s">
        <v>9</v>
      </c>
      <c r="K107" s="8" t="s">
        <v>9</v>
      </c>
      <c r="L107" s="8"/>
      <c r="M107" s="8"/>
      <c r="N107" s="8"/>
      <c r="O107" s="8"/>
      <c r="P107" s="8"/>
      <c r="Q107" s="8" t="s">
        <v>9</v>
      </c>
      <c r="R107" s="8" t="s">
        <v>9</v>
      </c>
      <c r="S107" s="8" t="s">
        <v>9</v>
      </c>
      <c r="Y107" s="8" t="s">
        <v>9</v>
      </c>
    </row>
    <row r="108" spans="1:28" ht="14.25" customHeight="1" x14ac:dyDescent="0.25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28" ht="14.25" customHeight="1" x14ac:dyDescent="0.25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28" ht="14.25" customHeight="1" x14ac:dyDescent="0.25">
      <c r="B110" s="7" t="s">
        <v>10</v>
      </c>
      <c r="C110" s="6">
        <f>S234</f>
        <v>5.2535454545454545E-2</v>
      </c>
      <c r="D110" s="18"/>
      <c r="U110" s="13"/>
    </row>
    <row r="111" spans="1:28" ht="15.6" x14ac:dyDescent="0.3">
      <c r="B111" s="7" t="s">
        <v>11</v>
      </c>
      <c r="C111" s="6">
        <f>Q106</f>
        <v>0.1838384893270627</v>
      </c>
      <c r="J111" s="190" t="s">
        <v>182</v>
      </c>
      <c r="K111" s="192"/>
      <c r="T111" s="141"/>
    </row>
    <row r="112" spans="1:28" x14ac:dyDescent="0.25">
      <c r="B112" s="7" t="s">
        <v>192</v>
      </c>
      <c r="C112" s="100">
        <f>Z106</f>
        <v>133087.43168689567</v>
      </c>
      <c r="D112" s="48"/>
      <c r="H112" s="192"/>
      <c r="I112" s="193"/>
    </row>
    <row r="113" spans="2:14" ht="13.8" x14ac:dyDescent="0.25">
      <c r="B113" s="7" t="s">
        <v>193</v>
      </c>
      <c r="C113" s="100">
        <f>AA106</f>
        <v>1597049.1802427478</v>
      </c>
      <c r="D113" s="48"/>
      <c r="I113" s="7" t="s">
        <v>196</v>
      </c>
      <c r="J113" s="140">
        <f>[44]Sheet1!$I$13</f>
        <v>28249.333333333332</v>
      </c>
    </row>
    <row r="114" spans="2:14" ht="13.8" x14ac:dyDescent="0.25">
      <c r="B114" s="29" t="s">
        <v>40</v>
      </c>
      <c r="C114" s="140">
        <f>X106</f>
        <v>278950</v>
      </c>
      <c r="I114" s="7" t="s">
        <v>197</v>
      </c>
      <c r="J114" s="140">
        <v>0</v>
      </c>
    </row>
    <row r="115" spans="2:14" ht="14.4" thickBot="1" x14ac:dyDescent="0.3">
      <c r="B115" s="29" t="s">
        <v>103</v>
      </c>
      <c r="C115" s="197">
        <f>(AD361/12)/M106</f>
        <v>8.6852932800726951E-2</v>
      </c>
      <c r="D115" s="49" t="s">
        <v>105</v>
      </c>
      <c r="H115" s="92"/>
      <c r="I115" s="92"/>
      <c r="J115" s="92"/>
      <c r="K115" s="92"/>
    </row>
    <row r="116" spans="2:14" ht="14.4" thickTop="1" x14ac:dyDescent="0.25">
      <c r="B116" s="29" t="s">
        <v>104</v>
      </c>
      <c r="C116" s="188" t="s">
        <v>204</v>
      </c>
      <c r="D116" s="50" t="s">
        <v>106</v>
      </c>
      <c r="I116" s="7" t="s">
        <v>198</v>
      </c>
      <c r="J116" s="217">
        <f>C117-J113</f>
        <v>7452.7742666666709</v>
      </c>
    </row>
    <row r="117" spans="2:14" ht="13.8" x14ac:dyDescent="0.25">
      <c r="B117" s="29" t="s">
        <v>144</v>
      </c>
      <c r="C117" s="189">
        <f>U106</f>
        <v>35702.107600000003</v>
      </c>
      <c r="D117" s="138">
        <f>C117/M106</f>
        <v>4.7359222079035729E-2</v>
      </c>
      <c r="E117" s="139" t="s">
        <v>108</v>
      </c>
      <c r="I117" s="7" t="s">
        <v>199</v>
      </c>
      <c r="J117" s="196"/>
    </row>
    <row r="118" spans="2:14" ht="13.8" x14ac:dyDescent="0.25">
      <c r="F118" s="118"/>
      <c r="J118" s="13"/>
      <c r="K118" s="194"/>
    </row>
    <row r="119" spans="2:14" ht="13.8" x14ac:dyDescent="0.25">
      <c r="B119" s="29"/>
      <c r="C119" s="77"/>
      <c r="F119" s="118"/>
    </row>
    <row r="120" spans="2:14" ht="13.8" x14ac:dyDescent="0.25">
      <c r="B120" s="29" t="s">
        <v>194</v>
      </c>
      <c r="C120" s="77">
        <v>18000</v>
      </c>
      <c r="D120" s="138">
        <f>C120/Z106</f>
        <v>0.13524943544141105</v>
      </c>
      <c r="E120" s="139" t="s">
        <v>108</v>
      </c>
      <c r="F120" s="118"/>
    </row>
    <row r="121" spans="2:14" ht="14.4" thickBot="1" x14ac:dyDescent="0.3">
      <c r="B121" s="54" t="s">
        <v>195</v>
      </c>
      <c r="C121" s="27">
        <f>C120*12</f>
        <v>216000</v>
      </c>
      <c r="D121" s="56"/>
      <c r="E121" s="55"/>
      <c r="F121" s="118"/>
      <c r="I121" s="7"/>
      <c r="J121" s="140"/>
    </row>
    <row r="122" spans="2:14" ht="14.4" thickTop="1" x14ac:dyDescent="0.25">
      <c r="B122" s="7" t="s">
        <v>192</v>
      </c>
      <c r="C122" s="201">
        <f>C112-C120</f>
        <v>115087.43168689567</v>
      </c>
      <c r="D122" s="48"/>
      <c r="F122" s="118"/>
    </row>
    <row r="123" spans="2:14" ht="13.8" x14ac:dyDescent="0.25">
      <c r="B123" s="7" t="s">
        <v>193</v>
      </c>
      <c r="C123" s="201">
        <f>C122*12</f>
        <v>1381049.180242748</v>
      </c>
      <c r="D123" s="48"/>
    </row>
    <row r="124" spans="2:14" ht="13.8" x14ac:dyDescent="0.25">
      <c r="B124" s="7" t="s">
        <v>201</v>
      </c>
      <c r="C124" s="100">
        <f>J116+J117</f>
        <v>7452.7742666666709</v>
      </c>
      <c r="N124" s="20" t="s">
        <v>33</v>
      </c>
    </row>
    <row r="125" spans="2:14" ht="13.8" x14ac:dyDescent="0.25">
      <c r="B125" s="7" t="s">
        <v>202</v>
      </c>
      <c r="C125" s="195">
        <f>C124+C122</f>
        <v>122540.20595356234</v>
      </c>
      <c r="N125" s="20"/>
    </row>
    <row r="126" spans="2:14" ht="13.8" x14ac:dyDescent="0.25">
      <c r="B126" s="7" t="s">
        <v>203</v>
      </c>
      <c r="C126" s="202">
        <f>C125*12</f>
        <v>1470482.4714427481</v>
      </c>
      <c r="N126" s="20"/>
    </row>
    <row r="127" spans="2:14" ht="13.8" x14ac:dyDescent="0.25">
      <c r="N127" s="20"/>
    </row>
    <row r="128" spans="2:14" ht="13.8" x14ac:dyDescent="0.25">
      <c r="N128" s="20"/>
    </row>
    <row r="129" spans="1:30" ht="13.8" x14ac:dyDescent="0.25">
      <c r="N129" s="20"/>
    </row>
    <row r="130" spans="1:30" ht="14.25" customHeight="1" x14ac:dyDescent="0.25">
      <c r="I130" s="143"/>
    </row>
    <row r="131" spans="1:30" ht="21" x14ac:dyDescent="0.4">
      <c r="B131" s="102" t="s">
        <v>115</v>
      </c>
      <c r="H131" s="93"/>
      <c r="I131" s="95">
        <v>8.5999999999999993E-2</v>
      </c>
    </row>
    <row r="132" spans="1:30" ht="56.25" customHeight="1" x14ac:dyDescent="0.25">
      <c r="A132" s="9"/>
      <c r="B132" s="10" t="s">
        <v>147</v>
      </c>
      <c r="C132" s="9" t="s">
        <v>116</v>
      </c>
      <c r="D132" s="9" t="s">
        <v>4</v>
      </c>
      <c r="E132" s="9" t="s">
        <v>107</v>
      </c>
      <c r="F132" s="9" t="s">
        <v>240</v>
      </c>
      <c r="G132" s="9" t="s">
        <v>120</v>
      </c>
      <c r="H132" s="9" t="s">
        <v>117</v>
      </c>
      <c r="I132" s="9" t="s">
        <v>118</v>
      </c>
      <c r="J132" s="117" t="s">
        <v>136</v>
      </c>
      <c r="K132" s="9" t="s">
        <v>137</v>
      </c>
      <c r="L132" s="9" t="s">
        <v>119</v>
      </c>
      <c r="N132" s="9" t="s">
        <v>121</v>
      </c>
      <c r="O132" s="9" t="s">
        <v>138</v>
      </c>
      <c r="P132" s="9" t="s">
        <v>139</v>
      </c>
      <c r="Q132" s="9" t="s">
        <v>110</v>
      </c>
      <c r="S132" s="9" t="s">
        <v>5</v>
      </c>
      <c r="T132" s="9" t="s">
        <v>125</v>
      </c>
      <c r="U132" s="9" t="s">
        <v>126</v>
      </c>
      <c r="V132" s="9" t="s">
        <v>127</v>
      </c>
      <c r="W132" s="9"/>
      <c r="X132" s="9" t="s">
        <v>74</v>
      </c>
      <c r="Y132" s="9" t="s">
        <v>130</v>
      </c>
      <c r="Z132" s="9" t="s">
        <v>128</v>
      </c>
      <c r="AA132" s="9" t="s">
        <v>122</v>
      </c>
      <c r="AB132" s="9" t="s">
        <v>123</v>
      </c>
      <c r="AC132" s="9" t="s">
        <v>124</v>
      </c>
    </row>
    <row r="133" spans="1:30" ht="14.25" customHeight="1" x14ac:dyDescent="0.25">
      <c r="A133" s="142">
        <v>1</v>
      </c>
      <c r="B133" s="19" t="s">
        <v>19</v>
      </c>
      <c r="C133" s="5">
        <f>[1]calculation!$G$48</f>
        <v>5200000</v>
      </c>
      <c r="D133" s="5">
        <f>[1]calculation!$G$49</f>
        <v>4160000</v>
      </c>
      <c r="E133" s="5">
        <f>[1]calculation!$G$50</f>
        <v>1039999.9999999998</v>
      </c>
      <c r="F133" s="5">
        <v>90885.25</v>
      </c>
      <c r="G133" s="5">
        <f>D133+E133+F133</f>
        <v>5290885.25</v>
      </c>
      <c r="H133" s="32">
        <v>8600000</v>
      </c>
      <c r="I133" s="5">
        <f>P5/I131</f>
        <v>6801020</v>
      </c>
      <c r="J133" s="111">
        <f>[1]calculation!$G$43</f>
        <v>5400000</v>
      </c>
      <c r="K133" s="107">
        <f>[1]calculation!$G$42</f>
        <v>44682</v>
      </c>
      <c r="L133" s="5">
        <f>G133/L5</f>
        <v>42.334194144616298</v>
      </c>
      <c r="M133" s="5"/>
      <c r="N133" s="96">
        <f>D133/G133</f>
        <v>0.78625783842127361</v>
      </c>
      <c r="O133" s="115">
        <f>D133/H133</f>
        <v>0.48372093023255813</v>
      </c>
      <c r="P133" s="113">
        <f>D133/J133</f>
        <v>0.77037037037037037</v>
      </c>
      <c r="Q133" s="67">
        <f>[1]calculation!$G$67</f>
        <v>1.892094414075344</v>
      </c>
      <c r="R133" s="5"/>
      <c r="S133" s="6">
        <f>[1]calculation!$H$55</f>
        <v>4.2500000000000003E-2</v>
      </c>
      <c r="T133" s="5">
        <f>[1]calculation!$G$55</f>
        <v>14733.333333333334</v>
      </c>
      <c r="U133" s="5">
        <f>[1]calculation!$G$56</f>
        <v>11026.820584330768</v>
      </c>
      <c r="V133" s="5">
        <f>[1]calculation!$G$57</f>
        <v>25760.153917664102</v>
      </c>
      <c r="W133" s="101"/>
      <c r="X133" s="57">
        <f>[1]calculation!$C$3</f>
        <v>44735</v>
      </c>
      <c r="Y133" s="57">
        <f>[1]calculation!$C$3</f>
        <v>44735</v>
      </c>
      <c r="Z133" s="57">
        <v>46561</v>
      </c>
      <c r="AA133" s="57"/>
      <c r="AB133" s="57"/>
      <c r="AC133" s="57"/>
      <c r="AD133" s="106" t="s">
        <v>133</v>
      </c>
    </row>
    <row r="134" spans="1:30" ht="14.25" customHeight="1" x14ac:dyDescent="0.25">
      <c r="A134" s="142"/>
      <c r="B134" s="40"/>
      <c r="C134" s="41"/>
      <c r="D134" s="41"/>
      <c r="E134" s="41"/>
      <c r="F134" s="41"/>
      <c r="G134" s="41"/>
      <c r="H134" s="41"/>
      <c r="I134" s="41"/>
      <c r="J134" s="41"/>
      <c r="K134" s="108"/>
      <c r="L134" s="41"/>
      <c r="M134" s="41"/>
      <c r="N134" s="41"/>
      <c r="O134" s="46"/>
      <c r="P134" s="46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</row>
    <row r="135" spans="1:30" ht="14.25" customHeight="1" x14ac:dyDescent="0.25">
      <c r="A135" s="142">
        <v>2</v>
      </c>
      <c r="B135" s="19" t="s">
        <v>20</v>
      </c>
      <c r="C135" s="5">
        <f>[2]calculation!$G$47</f>
        <v>2000000</v>
      </c>
      <c r="D135" s="5">
        <f>[2]calculation!$G$48</f>
        <v>1500000</v>
      </c>
      <c r="E135" s="5">
        <f>[2]calculation!$G$93</f>
        <v>512652</v>
      </c>
      <c r="F135" s="53">
        <v>692312.07</v>
      </c>
      <c r="G135" s="5">
        <f>D135+E135+F135</f>
        <v>2704964.07</v>
      </c>
      <c r="H135" s="32">
        <v>4600000</v>
      </c>
      <c r="I135" s="5">
        <f>P7/I131</f>
        <v>125744.41860465104</v>
      </c>
      <c r="J135" s="111">
        <f>[2]calculation!$G$42</f>
        <v>2000000</v>
      </c>
      <c r="K135" s="107">
        <f>[2]calculation!$G$41</f>
        <v>44743</v>
      </c>
      <c r="L135" s="5">
        <f>G135/L7</f>
        <v>15.071116948963672</v>
      </c>
      <c r="M135" s="5"/>
      <c r="N135" s="96">
        <f>D135/G135</f>
        <v>0.55453601644327943</v>
      </c>
      <c r="O135" s="115">
        <f>D135/H135</f>
        <v>0.32608695652173914</v>
      </c>
      <c r="P135" s="113">
        <f>D135/J135</f>
        <v>0.75</v>
      </c>
      <c r="Q135" s="67">
        <f>[2]calculation!$G$66</f>
        <v>0.11393820578438552</v>
      </c>
      <c r="R135" s="5"/>
      <c r="S135" s="6">
        <f>[2]calculation!$H$54</f>
        <v>3.9899999999999998E-2</v>
      </c>
      <c r="T135" s="5">
        <f>[2]calculation!$G$54</f>
        <v>4987.5</v>
      </c>
      <c r="U135" s="5">
        <f>[2]calculation!$G$55</f>
        <v>2921.7726371230228</v>
      </c>
      <c r="V135" s="5">
        <f>[2]calculation!$G$56</f>
        <v>7909.2726371230228</v>
      </c>
      <c r="W135" s="5"/>
      <c r="X135" s="57">
        <v>44788</v>
      </c>
      <c r="Y135" s="57">
        <v>44788</v>
      </c>
      <c r="Z135" s="57">
        <v>46609</v>
      </c>
      <c r="AA135" s="57"/>
      <c r="AB135" s="57"/>
      <c r="AC135" s="57"/>
    </row>
    <row r="136" spans="1:30" ht="14.25" customHeight="1" x14ac:dyDescent="0.25">
      <c r="A136" s="142"/>
      <c r="B136" s="40"/>
      <c r="C136" s="41"/>
      <c r="D136" s="41"/>
      <c r="E136" s="41"/>
      <c r="F136" s="41"/>
      <c r="G136" s="41"/>
      <c r="H136" s="41"/>
      <c r="I136" s="41"/>
      <c r="J136" s="41"/>
      <c r="K136" s="108"/>
      <c r="L136" s="41"/>
      <c r="M136" s="41"/>
      <c r="N136" s="41"/>
      <c r="O136" s="46"/>
      <c r="P136" s="46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</row>
    <row r="137" spans="1:30" ht="14.25" customHeight="1" x14ac:dyDescent="0.25">
      <c r="A137" s="142">
        <v>3</v>
      </c>
      <c r="B137" s="19" t="s">
        <v>21</v>
      </c>
      <c r="C137" s="5">
        <f>[3]calculation!$G$40</f>
        <v>3300000</v>
      </c>
      <c r="D137" s="5">
        <f>[3]calculation!$G$41</f>
        <v>2640000</v>
      </c>
      <c r="E137" s="5">
        <f>[3]calculation!$G$86</f>
        <v>689899.99999999988</v>
      </c>
      <c r="F137" s="5">
        <v>211623.64</v>
      </c>
      <c r="G137" s="5">
        <f>D137+E137+F137</f>
        <v>3541523.64</v>
      </c>
      <c r="H137" s="32">
        <v>4400000</v>
      </c>
      <c r="I137" s="5">
        <f>P9/I131</f>
        <v>2475739.5348837213</v>
      </c>
      <c r="J137" s="111">
        <f>[3]calculation!$G$35</f>
        <v>3400000</v>
      </c>
      <c r="K137" s="107">
        <f>[3]calculation!$G$34</f>
        <v>44652</v>
      </c>
      <c r="L137" s="5">
        <f>G137/L9</f>
        <v>33.190789675919852</v>
      </c>
      <c r="M137" s="5"/>
      <c r="N137" s="96">
        <f>D137/G137</f>
        <v>0.74544186863030504</v>
      </c>
      <c r="O137" s="115">
        <f>D137/H137</f>
        <v>0.6</v>
      </c>
      <c r="P137" s="113">
        <f>D137/J137</f>
        <v>0.77647058823529413</v>
      </c>
      <c r="Q137" s="67">
        <f>[3]calculation!$G$59</f>
        <v>1.0853332477947686</v>
      </c>
      <c r="R137" s="5"/>
      <c r="S137" s="6">
        <f>[3]calculation!$H$47</f>
        <v>4.2500000000000003E-2</v>
      </c>
      <c r="T137" s="176">
        <f>[3]calculation!$G$47</f>
        <v>9350.0000000000018</v>
      </c>
      <c r="U137" s="5">
        <f>[3]calculation!$G$48</f>
        <v>6997.7899862099093</v>
      </c>
      <c r="V137" s="5">
        <f>[3]calculation!$G$49</f>
        <v>16347.789986209911</v>
      </c>
      <c r="W137" s="5"/>
      <c r="X137" s="57">
        <v>44676</v>
      </c>
      <c r="Y137" s="57">
        <v>44676</v>
      </c>
      <c r="Z137" s="57">
        <v>46502</v>
      </c>
      <c r="AA137" s="57"/>
      <c r="AB137" s="57"/>
      <c r="AC137" s="57"/>
      <c r="AD137" s="106" t="s">
        <v>135</v>
      </c>
    </row>
    <row r="138" spans="1:30" ht="14.25" customHeight="1" x14ac:dyDescent="0.25">
      <c r="A138" s="142"/>
      <c r="B138" s="40"/>
      <c r="C138" s="41"/>
      <c r="D138" s="41"/>
      <c r="E138" s="41"/>
      <c r="F138" s="41"/>
      <c r="G138" s="41"/>
      <c r="H138" s="41"/>
      <c r="I138" s="41"/>
      <c r="J138" s="41"/>
      <c r="K138" s="108"/>
      <c r="L138" s="41"/>
      <c r="M138" s="41"/>
      <c r="N138" s="41"/>
      <c r="O138" s="46"/>
      <c r="P138" s="46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</row>
    <row r="139" spans="1:30" ht="13.8" customHeight="1" x14ac:dyDescent="0.25">
      <c r="A139" s="142">
        <v>4</v>
      </c>
      <c r="B139" s="19" t="s">
        <v>22</v>
      </c>
      <c r="C139" s="5">
        <f>[4]calculation!$G$56</f>
        <v>2500000</v>
      </c>
      <c r="D139" s="5">
        <f>[4]calculation!$G$57</f>
        <v>1797250</v>
      </c>
      <c r="E139" s="5">
        <f>[4]calculation!$G$102</f>
        <v>709087.75</v>
      </c>
      <c r="F139" s="5">
        <v>504901.1</v>
      </c>
      <c r="G139" s="5">
        <f>D139+E139+F139</f>
        <v>3011238.85</v>
      </c>
      <c r="H139" s="32">
        <v>5200000</v>
      </c>
      <c r="I139" s="5">
        <f>P11/I131</f>
        <v>3129229.9860465121</v>
      </c>
      <c r="J139" s="111">
        <v>4100000</v>
      </c>
      <c r="K139" s="178">
        <f>[4]calculation!$G$50</f>
        <v>44774</v>
      </c>
      <c r="L139" s="5">
        <f>G139/L11</f>
        <v>57.861704969063453</v>
      </c>
      <c r="M139" s="5"/>
      <c r="N139" s="96">
        <f>D139/G139</f>
        <v>0.59684737396370935</v>
      </c>
      <c r="O139" s="115">
        <f>D139/H139</f>
        <v>0.34562500000000002</v>
      </c>
      <c r="P139" s="113">
        <f>D139/J139</f>
        <v>0.43835365853658537</v>
      </c>
      <c r="Q139" s="67">
        <f>[4]calculation!$G$75</f>
        <v>1.9422008943827831</v>
      </c>
      <c r="R139" s="5"/>
      <c r="S139" s="6">
        <f>[4]calculation!$H$63</f>
        <v>5.9700000000000003E-2</v>
      </c>
      <c r="T139" s="5">
        <f>[4]calculation!$G$63</f>
        <v>8941.3187500000004</v>
      </c>
      <c r="U139" s="5">
        <f>[4]calculation!$G$64</f>
        <v>2605.4518740863405</v>
      </c>
      <c r="V139" s="5">
        <f>[4]calculation!$G$65</f>
        <v>11546.770624086341</v>
      </c>
      <c r="W139" s="5"/>
      <c r="X139" s="57">
        <v>45009</v>
      </c>
      <c r="Y139" s="57">
        <v>45009</v>
      </c>
      <c r="Z139" s="57">
        <v>46836</v>
      </c>
      <c r="AA139" s="57"/>
      <c r="AB139" s="57"/>
      <c r="AC139" s="57"/>
    </row>
    <row r="140" spans="1:30" ht="14.25" customHeight="1" x14ac:dyDescent="0.25">
      <c r="A140" s="142"/>
      <c r="B140" s="40"/>
      <c r="C140" s="41"/>
      <c r="D140" s="41"/>
      <c r="E140" s="41"/>
      <c r="F140" s="41"/>
      <c r="G140" s="41"/>
      <c r="H140" s="41"/>
      <c r="I140" s="41"/>
      <c r="J140" s="41"/>
      <c r="K140" s="108"/>
      <c r="L140" s="41"/>
      <c r="M140" s="41"/>
      <c r="N140" s="41"/>
      <c r="O140" s="46"/>
      <c r="P140" s="46"/>
      <c r="Q140" s="41"/>
      <c r="R140" s="41"/>
      <c r="S140" s="41"/>
      <c r="T140" s="41"/>
      <c r="U140" s="41"/>
      <c r="V140" s="41"/>
      <c r="W140" s="41"/>
      <c r="X140" s="41"/>
      <c r="Y140" s="103"/>
      <c r="Z140" s="41"/>
      <c r="AA140" s="41"/>
      <c r="AB140" s="41"/>
      <c r="AC140" s="41"/>
    </row>
    <row r="141" spans="1:30" ht="14.25" customHeight="1" x14ac:dyDescent="0.25">
      <c r="A141" s="142">
        <v>5</v>
      </c>
      <c r="B141" s="19" t="s">
        <v>23</v>
      </c>
      <c r="C141" s="5">
        <f>[5]calculation!$G$41</f>
        <v>2350000</v>
      </c>
      <c r="D141" s="5">
        <f>[5]calculation!$G$42</f>
        <v>2520000</v>
      </c>
      <c r="E141" s="5">
        <f>[5]calculation!$G$88</f>
        <v>-86199.999999999971</v>
      </c>
      <c r="F141" s="5">
        <v>176468.09</v>
      </c>
      <c r="G141" s="5">
        <f>D141+E141+F141</f>
        <v>2610268.09</v>
      </c>
      <c r="H141" s="32">
        <v>3800000</v>
      </c>
      <c r="I141" s="5">
        <f>P13/I131</f>
        <v>2899689.6604651166</v>
      </c>
      <c r="J141" s="111">
        <f>[5]calculation!$G$36</f>
        <v>3600000</v>
      </c>
      <c r="K141" s="107">
        <f>[5]calculation!$G$35</f>
        <v>44501</v>
      </c>
      <c r="L141" s="5">
        <f>G141/L13</f>
        <v>92.421771412385368</v>
      </c>
      <c r="M141" s="5"/>
      <c r="N141" s="96">
        <f>D141/G141</f>
        <v>0.96541807703744331</v>
      </c>
      <c r="O141" s="115">
        <f>D141/H141</f>
        <v>0.66315789473684206</v>
      </c>
      <c r="P141" s="113">
        <f>D141/J141</f>
        <v>0.7</v>
      </c>
      <c r="Q141" s="67">
        <f>[5]calculation!$G$60</f>
        <v>1.6039625535986706</v>
      </c>
      <c r="R141" s="5"/>
      <c r="S141" s="6">
        <f>[5]calculation!$H$48</f>
        <v>3.7499999999999999E-2</v>
      </c>
      <c r="T141" s="5">
        <f>[5]calculation!$G$48</f>
        <v>7875</v>
      </c>
      <c r="U141" s="5">
        <f>[5]calculation!$G$49</f>
        <v>5081.1062299793548</v>
      </c>
      <c r="V141" s="5">
        <f>[5]calculation!$G$50</f>
        <v>12956.106229979356</v>
      </c>
      <c r="W141" s="5"/>
      <c r="X141" s="57">
        <v>44224</v>
      </c>
      <c r="Y141" s="104">
        <v>44566</v>
      </c>
      <c r="Z141" s="57">
        <v>46397</v>
      </c>
      <c r="AA141" s="57"/>
      <c r="AB141" s="57"/>
      <c r="AC141" s="57"/>
    </row>
    <row r="142" spans="1:30" ht="14.25" customHeight="1" x14ac:dyDescent="0.25">
      <c r="A142" s="142"/>
      <c r="B142" s="40"/>
      <c r="C142" s="41"/>
      <c r="D142" s="41"/>
      <c r="E142" s="41"/>
      <c r="F142" s="41"/>
      <c r="G142" s="41"/>
      <c r="H142" s="41"/>
      <c r="I142" s="41"/>
      <c r="J142" s="41"/>
      <c r="K142" s="108"/>
      <c r="L142" s="41"/>
      <c r="M142" s="41"/>
      <c r="N142" s="41"/>
      <c r="O142" s="46"/>
      <c r="P142" s="46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</row>
    <row r="143" spans="1:30" ht="14.25" customHeight="1" x14ac:dyDescent="0.25">
      <c r="A143" s="142">
        <v>6</v>
      </c>
      <c r="B143" s="19" t="s">
        <v>24</v>
      </c>
      <c r="C143" s="5">
        <f>[6]calculation!$G$49</f>
        <v>2100000</v>
      </c>
      <c r="D143" s="5">
        <f>[6]calculation!$G$50</f>
        <v>1575000</v>
      </c>
      <c r="E143" s="5">
        <f>[6]calculation!$G$95</f>
        <v>563668</v>
      </c>
      <c r="F143" s="5">
        <v>251094.05</v>
      </c>
      <c r="G143" s="5">
        <f>D143+E143+F143</f>
        <v>2389762.0499999998</v>
      </c>
      <c r="H143" s="32">
        <v>5200000</v>
      </c>
      <c r="I143" s="5">
        <f>P15/I131</f>
        <v>2076640.6976744188</v>
      </c>
      <c r="J143" s="111">
        <f>[6]calculation!$G$44</f>
        <v>2500000</v>
      </c>
      <c r="K143" s="107">
        <f>[6]calculation!$G$43</f>
        <v>44866</v>
      </c>
      <c r="L143" s="5">
        <f>G143/L15</f>
        <v>15.777026955654877</v>
      </c>
      <c r="M143" s="5"/>
      <c r="N143" s="96">
        <f>D143/G143</f>
        <v>0.65906143249701377</v>
      </c>
      <c r="O143" s="115">
        <f>D143/H143</f>
        <v>0.30288461538461536</v>
      </c>
      <c r="P143" s="113">
        <f>D143/J143</f>
        <v>0.63</v>
      </c>
      <c r="Q143" s="67">
        <f>[6]calculation!$G$68</f>
        <v>1.5194793342878057</v>
      </c>
      <c r="R143" s="5"/>
      <c r="S143" s="6">
        <f>[6]calculation!$H$56</f>
        <v>5.6300000000000003E-2</v>
      </c>
      <c r="T143" s="5">
        <f>[6]calculation!$G$56</f>
        <v>7389.375</v>
      </c>
      <c r="U143" s="5">
        <f>[6]calculation!$G$57</f>
        <v>2405.1587793240069</v>
      </c>
      <c r="V143" s="5">
        <f>[6]calculation!$G$58</f>
        <v>9794.5337793240069</v>
      </c>
      <c r="W143" s="5"/>
      <c r="X143" s="57">
        <v>44903</v>
      </c>
      <c r="Y143" s="57">
        <v>44903</v>
      </c>
      <c r="Z143" s="57">
        <v>46729</v>
      </c>
      <c r="AA143" s="57"/>
      <c r="AB143" s="57"/>
      <c r="AC143" s="57"/>
    </row>
    <row r="144" spans="1:30" ht="14.25" customHeight="1" x14ac:dyDescent="0.25">
      <c r="A144" s="142"/>
      <c r="B144" s="40"/>
      <c r="C144" s="41"/>
      <c r="D144" s="41"/>
      <c r="E144" s="41"/>
      <c r="F144" s="41"/>
      <c r="G144" s="41"/>
      <c r="H144" s="41"/>
      <c r="I144" s="41"/>
      <c r="J144" s="41"/>
      <c r="K144" s="108"/>
      <c r="L144" s="41"/>
      <c r="M144" s="41"/>
      <c r="N144" s="41"/>
      <c r="O144" s="46"/>
      <c r="P144" s="46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</row>
    <row r="145" spans="1:30" ht="14.25" customHeight="1" x14ac:dyDescent="0.25">
      <c r="A145" s="142">
        <v>7</v>
      </c>
      <c r="B145" s="19" t="s">
        <v>25</v>
      </c>
      <c r="C145" s="5">
        <f>[7]calculation!$G$53</f>
        <v>2300000</v>
      </c>
      <c r="D145" s="5">
        <f>[7]calculation!$G$54</f>
        <v>1495000</v>
      </c>
      <c r="E145" s="5">
        <f>[7]calculation!$G$99</f>
        <v>837090</v>
      </c>
      <c r="F145" s="5">
        <v>165519.18</v>
      </c>
      <c r="G145" s="5">
        <f>D145+E145+F145</f>
        <v>2497609.1800000002</v>
      </c>
      <c r="H145" s="32">
        <v>6300000</v>
      </c>
      <c r="I145" s="5">
        <f>P17/I131</f>
        <v>2539131.162790698</v>
      </c>
      <c r="J145" s="111">
        <f>[7]calculation!$G$48</f>
        <v>3100000</v>
      </c>
      <c r="K145" s="107">
        <f>[7]calculation!$G$47</f>
        <v>44986</v>
      </c>
      <c r="L145" s="5">
        <f>G145/L17</f>
        <v>17.465798461538462</v>
      </c>
      <c r="M145" s="5"/>
      <c r="N145" s="96">
        <f>D145/G145</f>
        <v>0.59857243157634454</v>
      </c>
      <c r="O145" s="115">
        <f>D145/H145</f>
        <v>0.23730158730158729</v>
      </c>
      <c r="P145" s="113">
        <f>D145/J145</f>
        <v>0.48225806451612901</v>
      </c>
      <c r="Q145" s="67">
        <f>[7]calculation!$G$72</f>
        <v>1.745739198521111</v>
      </c>
      <c r="R145" s="5"/>
      <c r="S145" s="6">
        <f>[7]calculation!$H$60</f>
        <v>6.8500000000000005E-2</v>
      </c>
      <c r="T145" s="5">
        <f>[7]calculation!$G$60</f>
        <v>8533.9583333333339</v>
      </c>
      <c r="U145" s="5">
        <f>[7]calculation!$G$61</f>
        <v>1889.767433999039</v>
      </c>
      <c r="V145" s="5">
        <f>[7]calculation!$G$62</f>
        <v>10423.725767332373</v>
      </c>
      <c r="W145" s="5"/>
      <c r="X145" s="57">
        <v>45016</v>
      </c>
      <c r="Y145" s="57">
        <v>45016</v>
      </c>
      <c r="Z145" s="57">
        <v>46843</v>
      </c>
      <c r="AA145" s="57"/>
      <c r="AB145" s="57"/>
      <c r="AC145" s="57"/>
    </row>
    <row r="146" spans="1:30" ht="14.25" customHeight="1" x14ac:dyDescent="0.25">
      <c r="A146" s="142"/>
      <c r="B146" s="40"/>
      <c r="C146" s="41"/>
      <c r="D146" s="41"/>
      <c r="E146" s="41"/>
      <c r="F146" s="41"/>
      <c r="G146" s="41"/>
      <c r="H146" s="41"/>
      <c r="I146" s="41"/>
      <c r="J146" s="41"/>
      <c r="K146" s="108"/>
      <c r="L146" s="41"/>
      <c r="M146" s="41"/>
      <c r="N146" s="41"/>
      <c r="O146" s="46"/>
      <c r="P146" s="46"/>
      <c r="Q146" s="41"/>
      <c r="R146" s="41"/>
      <c r="S146" s="41"/>
      <c r="T146" s="41"/>
      <c r="U146" s="41"/>
      <c r="V146" s="41"/>
      <c r="W146" s="41"/>
      <c r="X146" s="41"/>
      <c r="Y146" s="103"/>
      <c r="Z146" s="41"/>
      <c r="AA146" s="41"/>
      <c r="AB146" s="41"/>
      <c r="AC146" s="41"/>
    </row>
    <row r="147" spans="1:30" ht="14.25" customHeight="1" x14ac:dyDescent="0.25">
      <c r="A147" s="142">
        <v>8</v>
      </c>
      <c r="B147" s="3" t="s">
        <v>26</v>
      </c>
      <c r="C147" s="5">
        <f>[8]calculation!$G$33</f>
        <v>860000</v>
      </c>
      <c r="D147" s="5">
        <f>[8]calculation!$G$34</f>
        <v>985000</v>
      </c>
      <c r="E147" s="5">
        <f>[8]calculation!$G$79</f>
        <v>-125000.00000000003</v>
      </c>
      <c r="F147" s="5">
        <v>100205.43</v>
      </c>
      <c r="G147" s="5">
        <f>D147+E147+F147</f>
        <v>960205.42999999993</v>
      </c>
      <c r="H147" s="32">
        <v>2600000</v>
      </c>
      <c r="I147" s="5">
        <f>P19/I131</f>
        <v>1879841.2976744187</v>
      </c>
      <c r="J147" s="111">
        <f>[8]calculation!$G$28</f>
        <v>1400000</v>
      </c>
      <c r="K147" s="107">
        <f>[8]calculation!$G$27</f>
        <v>44682</v>
      </c>
      <c r="L147" s="5">
        <f>G147/L19</f>
        <v>47.068893627450976</v>
      </c>
      <c r="M147" s="5"/>
      <c r="N147" s="96">
        <f>D147/G147</f>
        <v>1.0258221514119119</v>
      </c>
      <c r="O147" s="115">
        <f>D147/H147</f>
        <v>0.37884615384615383</v>
      </c>
      <c r="P147" s="113">
        <f>D147/J147</f>
        <v>0.70357142857142863</v>
      </c>
      <c r="Q147" s="67">
        <f>[8]calculation!$G$52</f>
        <v>2.5117192300444398</v>
      </c>
      <c r="R147" s="5"/>
      <c r="S147" s="6">
        <f>[8]calculation!$H$40</f>
        <v>4.2999999999999997E-2</v>
      </c>
      <c r="T147" s="5">
        <f>[8]calculation!$G$40</f>
        <v>3529.5833333333335</v>
      </c>
      <c r="U147" s="5">
        <f>[8]calculation!$G$41</f>
        <v>1834.1515162932728</v>
      </c>
      <c r="V147" s="5">
        <f>[8]calculation!$G$42</f>
        <v>5363.7348496266059</v>
      </c>
      <c r="W147" s="5"/>
      <c r="X147" s="57">
        <v>44322</v>
      </c>
      <c r="Y147" s="104">
        <v>44706</v>
      </c>
      <c r="Z147" s="57">
        <v>46539</v>
      </c>
      <c r="AA147" s="57"/>
      <c r="AB147" s="57"/>
      <c r="AC147" s="57"/>
    </row>
    <row r="148" spans="1:30" ht="14.25" customHeight="1" x14ac:dyDescent="0.25">
      <c r="A148" s="142"/>
      <c r="B148" s="40"/>
      <c r="C148" s="41"/>
      <c r="D148" s="41"/>
      <c r="E148" s="41"/>
      <c r="F148" s="41"/>
      <c r="G148" s="41"/>
      <c r="H148" s="41"/>
      <c r="I148" s="41"/>
      <c r="J148" s="41"/>
      <c r="K148" s="108"/>
      <c r="L148" s="41"/>
      <c r="M148" s="41"/>
      <c r="N148" s="41"/>
      <c r="O148" s="46"/>
      <c r="P148" s="46"/>
      <c r="Q148" s="41"/>
      <c r="R148" s="41"/>
      <c r="S148" s="41"/>
      <c r="T148" s="41"/>
      <c r="U148" s="41"/>
      <c r="V148" s="41"/>
      <c r="W148" s="41"/>
      <c r="X148" s="41"/>
      <c r="Y148" s="103"/>
      <c r="Z148" s="41"/>
      <c r="AA148" s="41"/>
      <c r="AB148" s="41"/>
      <c r="AC148" s="41"/>
    </row>
    <row r="149" spans="1:30" ht="14.25" customHeight="1" x14ac:dyDescent="0.25">
      <c r="A149" s="142">
        <v>9</v>
      </c>
      <c r="B149" s="19" t="s">
        <v>27</v>
      </c>
      <c r="C149" s="5">
        <f>[9]calculation!$G$35</f>
        <v>2150000</v>
      </c>
      <c r="D149" s="5">
        <f>[9]calculation!$G$36</f>
        <v>2671500</v>
      </c>
      <c r="E149" s="5">
        <f>[9]calculation!$G$81</f>
        <v>-471499.99999999994</v>
      </c>
      <c r="F149" s="5">
        <v>137639.29</v>
      </c>
      <c r="G149" s="5">
        <f>D149+E149+F149</f>
        <v>2337639.29</v>
      </c>
      <c r="H149" s="32">
        <v>5200000</v>
      </c>
      <c r="I149" s="5">
        <f>P21/I131</f>
        <v>2557982.6511627911</v>
      </c>
      <c r="J149" s="111">
        <f>[9]calculation!$G$30</f>
        <v>4200000</v>
      </c>
      <c r="K149" s="107">
        <f>[9]calculation!$G$29</f>
        <v>44652</v>
      </c>
      <c r="L149" s="5">
        <f>G149/L21</f>
        <v>36.993231472836321</v>
      </c>
      <c r="M149" s="5"/>
      <c r="N149" s="96">
        <f>D149/G149</f>
        <v>1.1428196007092266</v>
      </c>
      <c r="O149" s="115">
        <f>D149/H149</f>
        <v>0.51375000000000004</v>
      </c>
      <c r="P149" s="113">
        <f>D149/J149</f>
        <v>0.63607142857142862</v>
      </c>
      <c r="Q149" s="67">
        <f>[9]calculation!$G$54</f>
        <v>1.2666897034709688</v>
      </c>
      <c r="R149" s="5"/>
      <c r="S149" s="6">
        <f>[9]calculation!$H$42</f>
        <v>4.2500000000000003E-2</v>
      </c>
      <c r="T149" s="5">
        <f>[9]calculation!$G$42</f>
        <v>9461.5625000000018</v>
      </c>
      <c r="U149" s="5">
        <f>[9]calculation!$G$43</f>
        <v>5010.9708676955652</v>
      </c>
      <c r="V149" s="5">
        <f>[9]calculation!$G$44</f>
        <v>14472.533367695567</v>
      </c>
      <c r="W149" s="5"/>
      <c r="X149" s="57">
        <v>44379</v>
      </c>
      <c r="Y149" s="104">
        <v>44775</v>
      </c>
      <c r="Z149" s="57">
        <v>46609</v>
      </c>
      <c r="AA149" s="57"/>
      <c r="AB149" s="57"/>
      <c r="AC149" s="57"/>
    </row>
    <row r="150" spans="1:30" ht="14.25" customHeight="1" x14ac:dyDescent="0.25">
      <c r="A150" s="142"/>
      <c r="B150" s="40"/>
      <c r="C150" s="41"/>
      <c r="D150" s="41"/>
      <c r="E150" s="41"/>
      <c r="F150" s="41"/>
      <c r="G150" s="41"/>
      <c r="H150" s="41"/>
      <c r="I150" s="41"/>
      <c r="J150" s="41"/>
      <c r="K150" s="108"/>
      <c r="L150" s="41"/>
      <c r="M150" s="41"/>
      <c r="N150" s="41"/>
      <c r="O150" s="46"/>
      <c r="P150" s="46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</row>
    <row r="151" spans="1:30" ht="14.25" customHeight="1" x14ac:dyDescent="0.25">
      <c r="A151" s="142">
        <v>10</v>
      </c>
      <c r="B151" s="3" t="s">
        <v>28</v>
      </c>
      <c r="C151" s="5">
        <f>[10]calculation!$G$44</f>
        <v>7800000</v>
      </c>
      <c r="D151" s="5">
        <f>[10]calculation!$G$45</f>
        <v>5446350</v>
      </c>
      <c r="E151" s="5">
        <f>[10]calculation!$G$90</f>
        <v>2475031.2499999995</v>
      </c>
      <c r="F151" s="53">
        <v>1092254.71</v>
      </c>
      <c r="G151" s="5">
        <f>D151+E151+F151</f>
        <v>9013635.9600000009</v>
      </c>
      <c r="H151" s="32">
        <v>16200000</v>
      </c>
      <c r="I151" s="5">
        <f>P23/I131</f>
        <v>6623626.0000000009</v>
      </c>
      <c r="J151" s="111">
        <f>[10]calculation!$G$39</f>
        <v>8350000</v>
      </c>
      <c r="K151" s="107">
        <f>[10]calculation!$G$38</f>
        <v>44501</v>
      </c>
      <c r="L151" s="5">
        <f>G151/L23</f>
        <v>47.691952570675731</v>
      </c>
      <c r="M151" s="5"/>
      <c r="N151" s="96">
        <f>D151/G151</f>
        <v>0.6042345202501388</v>
      </c>
      <c r="O151" s="115">
        <f>D151/H151</f>
        <v>0.33619444444444446</v>
      </c>
      <c r="P151" s="113">
        <f>D151/J151</f>
        <v>0.65225748502994008</v>
      </c>
      <c r="Q151" s="67">
        <f>[10]calculation!$G$63</f>
        <v>1.668636276554186</v>
      </c>
      <c r="R151" s="5"/>
      <c r="S151" s="6">
        <f>[10]calculation!$H$51</f>
        <v>3.9E-2</v>
      </c>
      <c r="T151" s="5">
        <f>[10]calculation!$G$51</f>
        <v>17700.637500000001</v>
      </c>
      <c r="U151" s="5">
        <f>[10]calculation!$G$52</f>
        <v>10747.335454713109</v>
      </c>
      <c r="V151" s="5">
        <f>[10]calculation!$G$53</f>
        <v>28447.97295471311</v>
      </c>
      <c r="W151" s="5"/>
      <c r="X151" s="57">
        <v>44550</v>
      </c>
      <c r="Y151" s="57">
        <v>44550</v>
      </c>
      <c r="Z151" s="57">
        <v>46376</v>
      </c>
      <c r="AA151" s="57"/>
      <c r="AB151" s="57"/>
      <c r="AC151" s="57"/>
    </row>
    <row r="152" spans="1:30" ht="14.25" customHeight="1" x14ac:dyDescent="0.25">
      <c r="A152" s="142"/>
      <c r="B152" s="40"/>
      <c r="C152" s="41"/>
      <c r="D152" s="41"/>
      <c r="E152" s="41"/>
      <c r="F152" s="41"/>
      <c r="G152" s="41"/>
      <c r="H152" s="41"/>
      <c r="I152" s="41"/>
      <c r="J152" s="41"/>
      <c r="K152" s="108"/>
      <c r="L152" s="41"/>
      <c r="M152" s="41"/>
      <c r="N152" s="41"/>
      <c r="O152" s="46"/>
      <c r="P152" s="46"/>
      <c r="Q152" s="41"/>
      <c r="R152" s="41"/>
      <c r="S152" s="41"/>
      <c r="T152" s="41"/>
      <c r="U152" s="41"/>
      <c r="V152" s="41"/>
      <c r="W152" s="41"/>
      <c r="X152" s="41"/>
      <c r="Y152" s="103"/>
      <c r="Z152" s="41"/>
      <c r="AA152" s="41"/>
      <c r="AB152" s="41"/>
      <c r="AC152" s="41"/>
    </row>
    <row r="153" spans="1:30" ht="14.25" customHeight="1" x14ac:dyDescent="0.25">
      <c r="A153" s="142">
        <v>11</v>
      </c>
      <c r="B153" s="3" t="s">
        <v>29</v>
      </c>
      <c r="C153" s="5">
        <f>[11]calculation!$G$36</f>
        <v>1050000</v>
      </c>
      <c r="D153" s="5">
        <f>[11]calculation!$G$37</f>
        <v>1022400</v>
      </c>
      <c r="E153" s="5">
        <f>[11]calculation!$G$82</f>
        <v>77599.999999999956</v>
      </c>
      <c r="F153" s="5">
        <v>57362.29</v>
      </c>
      <c r="G153" s="5">
        <f>D153+E153+F153</f>
        <v>1157362.29</v>
      </c>
      <c r="H153" s="32">
        <v>2200000</v>
      </c>
      <c r="I153" s="5">
        <f>P25/I131</f>
        <v>1245899.1860465116</v>
      </c>
      <c r="J153" s="111">
        <f>[11]calculation!$G$31</f>
        <v>1420000</v>
      </c>
      <c r="K153" s="107">
        <f>[11]calculation!$G$30</f>
        <v>44409</v>
      </c>
      <c r="L153" s="5">
        <f>G153/L25</f>
        <v>62.560123783783787</v>
      </c>
      <c r="M153" s="5"/>
      <c r="N153" s="96">
        <f>D153/G153</f>
        <v>0.88338803573771185</v>
      </c>
      <c r="O153" s="115">
        <f>D153/H153</f>
        <v>0.46472727272727271</v>
      </c>
      <c r="P153" s="113">
        <f>D153/J153</f>
        <v>0.72</v>
      </c>
      <c r="Q153" s="67">
        <f>[11]calculation!$G$55</f>
        <v>1.6808100182947463</v>
      </c>
      <c r="R153" s="5"/>
      <c r="S153" s="6">
        <f>[11]calculation!$H$43</f>
        <v>3.85E-2</v>
      </c>
      <c r="T153" s="5">
        <f>[11]calculation!$G$43</f>
        <v>3280.2000000000003</v>
      </c>
      <c r="U153" s="5">
        <f>[11]calculation!$G$44</f>
        <v>2032.0863794716438</v>
      </c>
      <c r="V153" s="5">
        <f>[11]calculation!$G$45</f>
        <v>5312.2863794716441</v>
      </c>
      <c r="W153" s="5"/>
      <c r="X153" s="63" t="s">
        <v>94</v>
      </c>
      <c r="Y153" s="104">
        <v>44487</v>
      </c>
      <c r="Z153" s="105">
        <v>46315</v>
      </c>
      <c r="AA153" s="63"/>
      <c r="AB153" s="63"/>
      <c r="AC153" s="63"/>
      <c r="AD153" s="106" t="s">
        <v>134</v>
      </c>
    </row>
    <row r="154" spans="1:30" ht="14.25" customHeight="1" x14ac:dyDescent="0.25">
      <c r="A154" s="142"/>
      <c r="B154" s="40"/>
      <c r="C154" s="41"/>
      <c r="D154" s="41"/>
      <c r="E154" s="41"/>
      <c r="F154" s="41"/>
      <c r="G154" s="41"/>
      <c r="H154" s="41"/>
      <c r="I154" s="41"/>
      <c r="J154" s="41"/>
      <c r="K154" s="108"/>
      <c r="L154" s="41"/>
      <c r="M154" s="41"/>
      <c r="N154" s="41"/>
      <c r="O154" s="46"/>
      <c r="P154" s="46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</row>
    <row r="155" spans="1:30" ht="14.25" customHeight="1" x14ac:dyDescent="0.25">
      <c r="A155" s="142">
        <v>12</v>
      </c>
      <c r="B155" s="83" t="s">
        <v>30</v>
      </c>
      <c r="C155" s="5">
        <f>[12]calculation!$G$61</f>
        <v>2900000</v>
      </c>
      <c r="D155" s="5">
        <f>[12]calculation!$G$62</f>
        <v>2380819.73</v>
      </c>
      <c r="E155" s="5">
        <f>[12]calculation!$G$107</f>
        <v>281950.56594999996</v>
      </c>
      <c r="F155" s="5">
        <v>63930.15</v>
      </c>
      <c r="G155" s="5">
        <f>D155+E155+F155</f>
        <v>2726700.4459500001</v>
      </c>
      <c r="H155" s="32">
        <v>5600000</v>
      </c>
      <c r="I155" s="5">
        <f>P27/I131</f>
        <v>4177448.9209302324</v>
      </c>
      <c r="J155" s="111">
        <f>[12]calculation!$G$56</f>
        <v>4630000</v>
      </c>
      <c r="K155" s="107">
        <f>[12]calculation!$G$55</f>
        <v>45728</v>
      </c>
      <c r="L155" s="5">
        <f>G155/L27</f>
        <v>24.144835748820078</v>
      </c>
      <c r="M155" s="5"/>
      <c r="N155" s="96">
        <f>D155/G155</f>
        <v>0.8731504531552996</v>
      </c>
      <c r="O155" s="115">
        <f>D155/H155</f>
        <v>0.42514638035714286</v>
      </c>
      <c r="P155" s="113">
        <f>D155/J155</f>
        <v>0.51421592440604746</v>
      </c>
      <c r="Q155" s="67">
        <f>[12]calculation!$G$80</f>
        <v>1.4384989259913361</v>
      </c>
      <c r="R155" s="5"/>
      <c r="S155" s="6">
        <f>[12]calculation!$H$68</f>
        <v>8.5999999999999993E-2</v>
      </c>
      <c r="T155" s="5">
        <f>[12]calculation!$G$68</f>
        <v>17062.541398333331</v>
      </c>
      <c r="U155" s="176">
        <f>[12]calculation!$G$69</f>
        <v>3749.6979383776124</v>
      </c>
      <c r="V155" s="5">
        <f>[12]calculation!$G$70</f>
        <v>20812.239336710943</v>
      </c>
      <c r="W155" s="5"/>
      <c r="X155" s="57">
        <v>45296</v>
      </c>
      <c r="Y155" s="57">
        <v>45296</v>
      </c>
      <c r="Z155" s="57"/>
      <c r="AA155" s="57"/>
      <c r="AB155" s="57"/>
      <c r="AC155" s="57"/>
    </row>
    <row r="156" spans="1:30" ht="14.25" customHeight="1" x14ac:dyDescent="0.25">
      <c r="A156" s="142"/>
      <c r="B156" s="40"/>
      <c r="C156" s="41"/>
      <c r="D156" s="41"/>
      <c r="E156" s="41"/>
      <c r="F156" s="41"/>
      <c r="G156" s="41"/>
      <c r="H156" s="41"/>
      <c r="I156" s="41"/>
      <c r="J156" s="41"/>
      <c r="K156" s="108"/>
      <c r="L156" s="41"/>
      <c r="M156" s="41"/>
      <c r="N156" s="41"/>
      <c r="O156" s="46"/>
      <c r="P156" s="46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</row>
    <row r="157" spans="1:30" ht="14.25" customHeight="1" x14ac:dyDescent="0.25">
      <c r="A157" s="142">
        <v>13</v>
      </c>
      <c r="B157" s="30" t="s">
        <v>32</v>
      </c>
      <c r="C157" s="5">
        <f>[13]calculation!$G$50</f>
        <v>3900000</v>
      </c>
      <c r="D157" s="5">
        <f>[13]calculation!$G$51+[13]calculation!$AA$45</f>
        <v>3325000</v>
      </c>
      <c r="E157" s="5">
        <f>[13]calculation!$G$96</f>
        <v>572901</v>
      </c>
      <c r="F157" s="5">
        <v>174840.53</v>
      </c>
      <c r="G157" s="5">
        <f>D157+E157+F157</f>
        <v>4072741.53</v>
      </c>
      <c r="H157" s="32">
        <v>7800000</v>
      </c>
      <c r="I157" s="5">
        <f>P29/I131</f>
        <v>6034047.4790697675</v>
      </c>
      <c r="J157" s="111">
        <f>[13]calculation!$G$45</f>
        <v>4200000</v>
      </c>
      <c r="K157" s="107">
        <f>[13]calculation!$G$44</f>
        <v>45323</v>
      </c>
      <c r="L157" s="5">
        <f>G157/L29</f>
        <v>34.341016467532903</v>
      </c>
      <c r="M157" s="5"/>
      <c r="N157" s="96">
        <f>D157/G157</f>
        <v>0.8164033920414292</v>
      </c>
      <c r="O157" s="115">
        <f>D157/H157</f>
        <v>0.42628205128205127</v>
      </c>
      <c r="P157" s="113">
        <f>D157/J157</f>
        <v>0.79166666666666663</v>
      </c>
      <c r="Q157" s="67">
        <f>[13]calculation!$G$69</f>
        <v>1.8056838454781563</v>
      </c>
      <c r="R157" s="5"/>
      <c r="S157" s="6">
        <f>[13]calculation!$H$57</f>
        <v>7.4999999999999997E-2</v>
      </c>
      <c r="T157" s="5">
        <f>[13]calculation!$G$57</f>
        <v>20614.583333333332</v>
      </c>
      <c r="U157" s="5">
        <f>[13]calculation!$G$58</f>
        <v>3334.2419505756843</v>
      </c>
      <c r="V157" s="5">
        <f>[13]calculation!$G$59</f>
        <v>23948.825283909016</v>
      </c>
      <c r="W157" s="5"/>
      <c r="X157" s="57">
        <v>45387</v>
      </c>
      <c r="Y157" s="57">
        <v>45387</v>
      </c>
      <c r="Z157" s="57"/>
      <c r="AA157" s="57"/>
      <c r="AB157" s="57"/>
      <c r="AC157" s="57"/>
    </row>
    <row r="158" spans="1:30" ht="14.25" customHeight="1" x14ac:dyDescent="0.25">
      <c r="A158" s="142"/>
      <c r="B158" s="40"/>
      <c r="C158" s="71"/>
      <c r="D158" s="71"/>
      <c r="E158" s="71"/>
      <c r="F158" s="71"/>
      <c r="G158" s="71"/>
      <c r="H158" s="71"/>
      <c r="I158" s="71"/>
      <c r="J158" s="71"/>
      <c r="K158" s="109"/>
      <c r="L158" s="71"/>
      <c r="M158" s="71"/>
      <c r="N158" s="71"/>
      <c r="O158" s="71"/>
      <c r="P158" s="71"/>
      <c r="Q158" s="72"/>
      <c r="R158" s="71"/>
      <c r="S158" s="71"/>
      <c r="T158" s="71"/>
      <c r="U158" s="71"/>
      <c r="V158" s="71"/>
      <c r="W158" s="71"/>
      <c r="X158" s="73"/>
      <c r="Y158" s="73"/>
      <c r="Z158" s="73"/>
      <c r="AA158" s="73"/>
      <c r="AB158" s="73"/>
      <c r="AC158" s="73"/>
    </row>
    <row r="159" spans="1:30" ht="14.25" customHeight="1" x14ac:dyDescent="0.25">
      <c r="A159" s="142">
        <v>14</v>
      </c>
      <c r="B159" s="19" t="s">
        <v>112</v>
      </c>
      <c r="C159" s="5">
        <f>[14]calculation!$G$49</f>
        <v>9500000</v>
      </c>
      <c r="D159" s="5">
        <f>[14]calculation!$G$50</f>
        <v>7560000</v>
      </c>
      <c r="E159" s="5">
        <f>[14]calculation!$G$95</f>
        <v>2085083.93</v>
      </c>
      <c r="F159" s="5">
        <v>178503.11</v>
      </c>
      <c r="G159" s="5">
        <f>D159+E159+F159</f>
        <v>9823587.0399999991</v>
      </c>
      <c r="H159" s="32">
        <v>16200000</v>
      </c>
      <c r="I159" s="5">
        <f>P31/I131</f>
        <v>9815323.1302325595</v>
      </c>
      <c r="J159" s="111">
        <f>[14]calculation!$G$44</f>
        <v>10500000</v>
      </c>
      <c r="K159" s="107">
        <f>[14]calculation!$G$43</f>
        <v>45383</v>
      </c>
      <c r="L159" s="5">
        <f>G159/L31</f>
        <v>59.72293714966623</v>
      </c>
      <c r="M159" s="5"/>
      <c r="N159" s="121">
        <f>D159/G159</f>
        <v>0.76957632372136042</v>
      </c>
      <c r="O159" s="122">
        <f>D159/H159</f>
        <v>0.46666666666666667</v>
      </c>
      <c r="P159" s="119">
        <f>D159/J159</f>
        <v>0.72</v>
      </c>
      <c r="Q159" s="67">
        <f>[14]calculation!$G$68</f>
        <v>1.334498920205041</v>
      </c>
      <c r="R159" s="5"/>
      <c r="S159" s="6">
        <f>[14]calculation!$H$56</f>
        <v>6.8500000000000005E-2</v>
      </c>
      <c r="T159" s="5">
        <f>[14]calculation!$G$56</f>
        <v>43155.000000000007</v>
      </c>
      <c r="U159" s="5">
        <f>[14]calculation!$G$57</f>
        <v>9556.2821411590267</v>
      </c>
      <c r="V159" s="5">
        <f>[14]calculation!$G$58</f>
        <v>52711.282141159034</v>
      </c>
      <c r="W159" s="5"/>
      <c r="X159" s="57">
        <v>45653</v>
      </c>
      <c r="Y159" s="57">
        <v>45653</v>
      </c>
      <c r="Z159" s="57">
        <v>47479</v>
      </c>
      <c r="AA159" s="57"/>
      <c r="AB159" s="57"/>
      <c r="AC159" s="57"/>
      <c r="AD159" s="106" t="s">
        <v>132</v>
      </c>
    </row>
    <row r="160" spans="1:30" ht="14.25" customHeight="1" x14ac:dyDescent="0.25">
      <c r="A160" s="142"/>
      <c r="B160" s="123"/>
      <c r="C160" s="71"/>
      <c r="D160" s="71"/>
      <c r="E160" s="71"/>
      <c r="F160" s="71"/>
      <c r="G160" s="71"/>
      <c r="H160" s="71"/>
      <c r="I160" s="71"/>
      <c r="J160" s="71"/>
      <c r="K160" s="109"/>
      <c r="L160" s="71"/>
      <c r="M160" s="71"/>
      <c r="N160" s="124"/>
      <c r="O160" s="124"/>
      <c r="P160" s="124"/>
      <c r="Q160" s="125"/>
      <c r="R160" s="71"/>
      <c r="S160" s="126"/>
      <c r="T160" s="71"/>
      <c r="U160" s="71"/>
      <c r="V160" s="71"/>
      <c r="W160" s="71"/>
      <c r="X160" s="73"/>
      <c r="Y160" s="73"/>
      <c r="Z160" s="73"/>
      <c r="AA160" s="73"/>
      <c r="AB160" s="73"/>
      <c r="AC160" s="73"/>
      <c r="AD160" s="106"/>
    </row>
    <row r="161" spans="1:30" ht="14.25" customHeight="1" thickBot="1" x14ac:dyDescent="0.3">
      <c r="A161" s="142">
        <v>15</v>
      </c>
      <c r="B161" s="74" t="s">
        <v>140</v>
      </c>
      <c r="C161" s="28">
        <f>[15]calculation!$G$45</f>
        <v>6400000</v>
      </c>
      <c r="D161" s="28">
        <f>[15]calculation!$G$46</f>
        <v>5120000</v>
      </c>
      <c r="E161" s="28">
        <f>[15]calculation!$G$93</f>
        <v>1272319.9999999998</v>
      </c>
      <c r="F161" s="28">
        <v>169994.71</v>
      </c>
      <c r="G161" s="28">
        <v>6434400</v>
      </c>
      <c r="H161" s="86">
        <v>13600000</v>
      </c>
      <c r="I161" s="28">
        <v>7989990.2857142854</v>
      </c>
      <c r="J161" s="112">
        <f>[15]calculation!$G$40</f>
        <v>7325000</v>
      </c>
      <c r="K161" s="110">
        <f>[15]calculation!$G$39</f>
        <v>45658</v>
      </c>
      <c r="L161" s="28">
        <v>34.105979571608032</v>
      </c>
      <c r="M161" s="28"/>
      <c r="N161" s="98">
        <f>D161/G161</f>
        <v>0.79572298893447724</v>
      </c>
      <c r="O161" s="116">
        <f>D161/H161</f>
        <v>0.37647058823529411</v>
      </c>
      <c r="P161" s="114">
        <f>D161/J161</f>
        <v>0.69897610921501707</v>
      </c>
      <c r="Q161" s="99">
        <f>[15]calculation!$G$64</f>
        <v>3.1460955468749998</v>
      </c>
      <c r="R161" s="28"/>
      <c r="S161" s="91">
        <f>[15]calculation!$H$52</f>
        <v>5.5E-2</v>
      </c>
      <c r="T161" s="28">
        <f>[15]calculation!$G$52</f>
        <v>23466.666666666668</v>
      </c>
      <c r="U161" s="28">
        <f>[15]calculation!$G$53</f>
        <v>0</v>
      </c>
      <c r="V161" s="28">
        <f>[15]calculation!$G$54</f>
        <v>23466.666666666668</v>
      </c>
      <c r="W161" s="28"/>
      <c r="X161" s="94">
        <v>45777</v>
      </c>
      <c r="Y161" s="94">
        <v>45777</v>
      </c>
      <c r="Z161" s="94">
        <v>46873</v>
      </c>
      <c r="AA161" s="94"/>
      <c r="AB161" s="94"/>
      <c r="AC161" s="94"/>
      <c r="AD161" s="120" t="s">
        <v>141</v>
      </c>
    </row>
    <row r="162" spans="1:30" ht="14.25" customHeight="1" thickTop="1" x14ac:dyDescent="0.25">
      <c r="B162" s="14" t="s">
        <v>8</v>
      </c>
      <c r="C162" s="34">
        <f>SUM(C133:C161)</f>
        <v>54310000</v>
      </c>
      <c r="D162" s="34">
        <f>SUM(D133:D161)</f>
        <v>44198319.730000004</v>
      </c>
      <c r="E162" s="34">
        <f t="shared" ref="E162:J162" si="29">SUM(E133:E161)</f>
        <v>10434584.49595</v>
      </c>
      <c r="F162" s="34">
        <f t="shared" si="29"/>
        <v>4067533.5999999996</v>
      </c>
      <c r="G162" s="34">
        <f t="shared" si="29"/>
        <v>58572523.115950003</v>
      </c>
      <c r="H162" s="34">
        <f t="shared" si="29"/>
        <v>107500000</v>
      </c>
      <c r="I162" s="34">
        <f t="shared" si="29"/>
        <v>60371354.411295682</v>
      </c>
      <c r="J162" s="34">
        <f t="shared" si="29"/>
        <v>66125000</v>
      </c>
      <c r="K162" s="34"/>
      <c r="L162" s="34">
        <f>AVERAGE(L133:L161)</f>
        <v>41.383424864034403</v>
      </c>
      <c r="M162" s="34"/>
      <c r="N162" s="97">
        <f>AVERAGE(N133:N161)</f>
        <v>0.7878168336353949</v>
      </c>
      <c r="O162" s="97">
        <f>AVERAGE(O133:O161)</f>
        <v>0.42312403611575783</v>
      </c>
      <c r="P162" s="97">
        <f>AVERAGE(P133:P161)</f>
        <v>0.66561411494126055</v>
      </c>
      <c r="Q162" s="68">
        <f>AVERAGE(Q133:Q161)</f>
        <v>1.6503586876905827</v>
      </c>
      <c r="R162" s="34"/>
      <c r="S162" s="16">
        <f>AVERAGE(S133:S161)</f>
        <v>5.296E-2</v>
      </c>
      <c r="T162" s="34">
        <f>SUM(T133:T161)</f>
        <v>200081.26014833333</v>
      </c>
      <c r="U162" s="34">
        <f>SUM(U133:U161)</f>
        <v>69192.633773338341</v>
      </c>
      <c r="V162" s="34">
        <f>SUM(V133:V161)</f>
        <v>269273.89392167167</v>
      </c>
      <c r="W162" s="34"/>
      <c r="X162" s="34"/>
      <c r="Y162" s="34"/>
      <c r="Z162" s="34"/>
      <c r="AA162" s="34"/>
      <c r="AB162" s="34"/>
      <c r="AC162" s="34"/>
    </row>
    <row r="163" spans="1:30" ht="14.25" customHeight="1" x14ac:dyDescent="0.25">
      <c r="L163" s="8" t="s">
        <v>9</v>
      </c>
      <c r="N163" s="8" t="s">
        <v>9</v>
      </c>
      <c r="O163" s="8" t="s">
        <v>9</v>
      </c>
      <c r="P163" s="8" t="s">
        <v>9</v>
      </c>
      <c r="Q163" s="8" t="s">
        <v>9</v>
      </c>
      <c r="S163" s="8" t="s">
        <v>9</v>
      </c>
    </row>
    <row r="164" spans="1:30" ht="14.25" customHeight="1" x14ac:dyDescent="0.25"/>
    <row r="165" spans="1:30" ht="14.25" customHeight="1" x14ac:dyDescent="0.25">
      <c r="I165" s="95">
        <v>8.5999999999999993E-2</v>
      </c>
    </row>
    <row r="166" spans="1:30" ht="56.25" customHeight="1" x14ac:dyDescent="0.25">
      <c r="A166" s="9"/>
      <c r="B166" s="10" t="s">
        <v>186</v>
      </c>
      <c r="C166" s="9" t="s">
        <v>116</v>
      </c>
      <c r="D166" s="9" t="s">
        <v>4</v>
      </c>
      <c r="E166" s="9" t="s">
        <v>107</v>
      </c>
      <c r="F166" s="9" t="s">
        <v>131</v>
      </c>
      <c r="G166" s="9" t="s">
        <v>120</v>
      </c>
      <c r="H166" s="9" t="s">
        <v>117</v>
      </c>
      <c r="I166" s="9" t="s">
        <v>118</v>
      </c>
      <c r="J166" s="117" t="s">
        <v>136</v>
      </c>
      <c r="K166" s="9" t="s">
        <v>137</v>
      </c>
      <c r="L166" s="9" t="s">
        <v>119</v>
      </c>
      <c r="N166" s="9" t="s">
        <v>121</v>
      </c>
      <c r="O166" s="9" t="s">
        <v>138</v>
      </c>
      <c r="P166" s="9" t="s">
        <v>139</v>
      </c>
      <c r="Q166" s="9" t="s">
        <v>110</v>
      </c>
      <c r="S166" s="9" t="s">
        <v>5</v>
      </c>
      <c r="T166" s="9" t="s">
        <v>125</v>
      </c>
      <c r="U166" s="9" t="s">
        <v>126</v>
      </c>
      <c r="V166" s="9" t="s">
        <v>127</v>
      </c>
      <c r="W166" s="9"/>
      <c r="X166" s="9" t="s">
        <v>74</v>
      </c>
      <c r="Y166" s="9" t="s">
        <v>130</v>
      </c>
      <c r="Z166" s="9" t="s">
        <v>128</v>
      </c>
      <c r="AA166" s="9" t="s">
        <v>122</v>
      </c>
      <c r="AB166" s="9" t="s">
        <v>123</v>
      </c>
      <c r="AC166" s="9" t="s">
        <v>124</v>
      </c>
    </row>
    <row r="167" spans="1:30" s="2" customFormat="1" ht="14.25" customHeight="1" x14ac:dyDescent="0.25">
      <c r="A167" s="142">
        <v>1</v>
      </c>
      <c r="B167" s="212" t="s">
        <v>153</v>
      </c>
      <c r="C167" s="5">
        <f>[16]calculation!$G$42</f>
        <v>3400000</v>
      </c>
      <c r="D167" s="5">
        <f>[16]calculation!$G$43</f>
        <v>2800000</v>
      </c>
      <c r="E167" s="5">
        <f>[16]calculation!$G$91</f>
        <v>571278.00000000012</v>
      </c>
      <c r="F167" s="53">
        <v>0</v>
      </c>
      <c r="G167" s="5">
        <f>D167+E167+F167</f>
        <v>3371278</v>
      </c>
      <c r="H167" s="32">
        <v>6700000</v>
      </c>
      <c r="I167" s="5">
        <f>P39/I165</f>
        <v>4546671.3162790705</v>
      </c>
      <c r="J167" s="111">
        <f>[16]calculation!$G$37</f>
        <v>3950000</v>
      </c>
      <c r="K167" s="107">
        <f>[16]calculation!$G$36</f>
        <v>45811</v>
      </c>
      <c r="L167" s="5">
        <f>G167/L39</f>
        <v>24.606072549448946</v>
      </c>
      <c r="M167" s="5"/>
      <c r="N167" s="96">
        <f>D167/G167</f>
        <v>0.83054556758594222</v>
      </c>
      <c r="O167" s="115">
        <f>D167/H167</f>
        <v>0.41791044776119401</v>
      </c>
      <c r="P167" s="113">
        <f>D167/J167</f>
        <v>0.70886075949367089</v>
      </c>
      <c r="Q167" s="67">
        <f>[16]calculation!$G$63</f>
        <v>1.6843420703560474</v>
      </c>
      <c r="R167" s="5"/>
      <c r="S167" s="6">
        <f>[16]calculation!$H$49</f>
        <v>6.7500000000000004E-2</v>
      </c>
      <c r="T167" s="5">
        <f>[16]calculation!$G$49</f>
        <v>15750</v>
      </c>
      <c r="U167" s="5">
        <f>[16]calculation!$G$50</f>
        <v>3595.5227059541085</v>
      </c>
      <c r="V167" s="5">
        <f>[16]calculation!$G$51</f>
        <v>19345.522705954107</v>
      </c>
      <c r="W167" s="5"/>
      <c r="X167" s="57">
        <f>[16]calculation!$C$3</f>
        <v>45849</v>
      </c>
      <c r="Y167" s="57">
        <f>[16]calculation!$C$3</f>
        <v>45849</v>
      </c>
      <c r="Z167" s="57">
        <v>47675</v>
      </c>
      <c r="AA167" s="57"/>
      <c r="AB167" s="57"/>
      <c r="AC167" s="57"/>
    </row>
    <row r="168" spans="1:30" s="2" customFormat="1" ht="14.25" customHeight="1" x14ac:dyDescent="0.25">
      <c r="A168" s="142"/>
      <c r="B168" s="40"/>
      <c r="C168" s="41"/>
      <c r="D168" s="41"/>
      <c r="E168" s="41"/>
      <c r="F168" s="41"/>
      <c r="G168" s="41"/>
      <c r="H168" s="41"/>
      <c r="I168" s="41"/>
      <c r="J168" s="41"/>
      <c r="K168" s="108"/>
      <c r="L168" s="41"/>
      <c r="M168" s="41"/>
      <c r="N168" s="41"/>
      <c r="O168" s="46"/>
      <c r="P168" s="46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</row>
    <row r="169" spans="1:30" s="2" customFormat="1" ht="14.25" customHeight="1" x14ac:dyDescent="0.25">
      <c r="A169" s="142">
        <v>2</v>
      </c>
      <c r="B169" s="212" t="s">
        <v>185</v>
      </c>
      <c r="C169" s="5">
        <f>[17]calculation!$G$39</f>
        <v>3400000</v>
      </c>
      <c r="D169" s="5">
        <f>[17]calculation!$G$40+[17]calculation!$AA$34</f>
        <v>3250000</v>
      </c>
      <c r="E169" s="5">
        <f>[17]calculation!$G$85-[17]calculation!$AA$34</f>
        <v>186150.52999999991</v>
      </c>
      <c r="F169" s="53">
        <v>0</v>
      </c>
      <c r="G169" s="5">
        <f>D169+E169+F169</f>
        <v>3436150.53</v>
      </c>
      <c r="H169" s="32">
        <v>4800000</v>
      </c>
      <c r="I169" s="5">
        <f>P41/I165</f>
        <v>4033582.0325581399</v>
      </c>
      <c r="J169" s="111">
        <f>[17]calculation!$G$34</f>
        <v>3800000</v>
      </c>
      <c r="K169" s="107">
        <f>[17]calculation!$G$33</f>
        <v>45932</v>
      </c>
      <c r="L169" s="5">
        <f>G169/L41</f>
        <v>35.396863559103785</v>
      </c>
      <c r="M169" s="5"/>
      <c r="N169" s="96">
        <f>D169/G169</f>
        <v>0.94582585123242557</v>
      </c>
      <c r="O169" s="115">
        <f>D169/H169</f>
        <v>0.67708333333333337</v>
      </c>
      <c r="P169" s="113">
        <f>D169/J169</f>
        <v>0.85526315789473684</v>
      </c>
      <c r="Q169" s="67">
        <f>[17]calculation!$G$58</f>
        <v>1.5021946092371412</v>
      </c>
      <c r="R169" s="5"/>
      <c r="S169" s="6">
        <f>[17]calculation!$H$46</f>
        <v>6.5000000000000002E-2</v>
      </c>
      <c r="T169" s="5">
        <f>[17]calculation!$G$46</f>
        <v>15437.5</v>
      </c>
      <c r="U169" s="5">
        <f>[17]calculation!$G$47</f>
        <v>3805.9040984077292</v>
      </c>
      <c r="V169" s="5">
        <f>[17]calculation!$G$48</f>
        <v>19243.404098407729</v>
      </c>
      <c r="W169" s="5"/>
      <c r="X169" s="57">
        <f>[17]calculation!$C$3</f>
        <v>46009</v>
      </c>
      <c r="Y169" s="57">
        <f>[17]calculation!$C$3</f>
        <v>46009</v>
      </c>
      <c r="Z169" s="57">
        <v>47835</v>
      </c>
      <c r="AA169" s="57"/>
      <c r="AB169" s="57"/>
      <c r="AC169" s="57"/>
      <c r="AD169" s="57"/>
    </row>
    <row r="170" spans="1:30" s="2" customFormat="1" ht="14.25" customHeight="1" x14ac:dyDescent="0.25">
      <c r="A170" s="142"/>
      <c r="B170" s="40"/>
      <c r="C170" s="41"/>
      <c r="D170" s="41"/>
      <c r="E170" s="41"/>
      <c r="F170" s="41"/>
      <c r="G170" s="41"/>
      <c r="H170" s="41"/>
      <c r="I170" s="41"/>
      <c r="J170" s="41"/>
      <c r="K170" s="108"/>
      <c r="L170" s="41"/>
      <c r="M170" s="41"/>
      <c r="N170" s="41"/>
      <c r="O170" s="46"/>
      <c r="P170" s="46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</row>
    <row r="171" spans="1:30" s="2" customFormat="1" ht="14.25" customHeight="1" x14ac:dyDescent="0.25">
      <c r="A171" s="142">
        <v>3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30" s="2" customFormat="1" ht="14.25" customHeight="1" x14ac:dyDescent="0.25">
      <c r="A172" s="142"/>
      <c r="B172" s="40"/>
      <c r="C172" s="41"/>
      <c r="D172" s="41"/>
      <c r="E172" s="41"/>
      <c r="F172" s="41"/>
      <c r="G172" s="41"/>
      <c r="H172" s="41"/>
      <c r="I172" s="41"/>
      <c r="J172" s="41"/>
      <c r="K172" s="108"/>
      <c r="L172" s="41"/>
      <c r="M172" s="41"/>
      <c r="N172" s="41"/>
      <c r="O172" s="46"/>
      <c r="P172" s="46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</row>
    <row r="173" spans="1:30" s="2" customFormat="1" ht="14.25" customHeight="1" x14ac:dyDescent="0.25">
      <c r="A173" s="142">
        <v>4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30" s="2" customFormat="1" ht="14.25" customHeight="1" x14ac:dyDescent="0.25">
      <c r="A174" s="142"/>
      <c r="B174" s="40"/>
      <c r="C174" s="41"/>
      <c r="D174" s="41"/>
      <c r="E174" s="41"/>
      <c r="F174" s="41"/>
      <c r="G174" s="41"/>
      <c r="H174" s="41"/>
      <c r="I174" s="41"/>
      <c r="J174" s="41"/>
      <c r="K174" s="108"/>
      <c r="L174" s="41"/>
      <c r="M174" s="41"/>
      <c r="N174" s="41"/>
      <c r="O174" s="46"/>
      <c r="P174" s="46"/>
      <c r="Q174" s="41"/>
      <c r="R174" s="41"/>
      <c r="S174" s="41"/>
      <c r="T174" s="41"/>
      <c r="U174" s="41"/>
      <c r="V174" s="41"/>
      <c r="W174" s="41"/>
      <c r="X174" s="41"/>
      <c r="Y174" s="103"/>
      <c r="Z174" s="41"/>
      <c r="AA174" s="41"/>
      <c r="AB174" s="41"/>
      <c r="AC174" s="41"/>
    </row>
    <row r="175" spans="1:30" s="2" customFormat="1" ht="14.25" customHeight="1" x14ac:dyDescent="0.25">
      <c r="A175" s="142">
        <v>5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spans="1:30" s="2" customFormat="1" ht="14.25" customHeight="1" x14ac:dyDescent="0.25">
      <c r="A176" s="142"/>
      <c r="B176" s="40"/>
      <c r="C176" s="41"/>
      <c r="D176" s="41"/>
      <c r="E176" s="41"/>
      <c r="F176" s="41"/>
      <c r="G176" s="41"/>
      <c r="H176" s="41"/>
      <c r="I176" s="41"/>
      <c r="J176" s="41"/>
      <c r="K176" s="108"/>
      <c r="L176" s="41"/>
      <c r="M176" s="41"/>
      <c r="N176" s="41"/>
      <c r="O176" s="46"/>
      <c r="P176" s="46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</row>
    <row r="177" spans="1:29" s="2" customFormat="1" ht="14.25" customHeight="1" x14ac:dyDescent="0.25">
      <c r="A177" s="142">
        <v>6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s="2" customFormat="1" ht="14.25" customHeight="1" x14ac:dyDescent="0.25">
      <c r="A178" s="142"/>
      <c r="B178" s="40"/>
      <c r="C178" s="41"/>
      <c r="D178" s="41"/>
      <c r="E178" s="41"/>
      <c r="F178" s="41"/>
      <c r="G178" s="41"/>
      <c r="H178" s="41"/>
      <c r="I178" s="41"/>
      <c r="J178" s="41"/>
      <c r="K178" s="108"/>
      <c r="L178" s="41"/>
      <c r="M178" s="41"/>
      <c r="N178" s="41"/>
      <c r="O178" s="46"/>
      <c r="P178" s="46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</row>
    <row r="179" spans="1:29" s="2" customFormat="1" ht="14.25" customHeight="1" x14ac:dyDescent="0.25">
      <c r="A179" s="142">
        <v>7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s="2" customFormat="1" ht="14.25" customHeight="1" x14ac:dyDescent="0.25">
      <c r="A180" s="142"/>
      <c r="B180" s="40"/>
      <c r="C180" s="41"/>
      <c r="D180" s="41"/>
      <c r="E180" s="41"/>
      <c r="F180" s="41"/>
      <c r="G180" s="41"/>
      <c r="H180" s="41"/>
      <c r="I180" s="41"/>
      <c r="J180" s="41"/>
      <c r="K180" s="108"/>
      <c r="L180" s="41"/>
      <c r="M180" s="41"/>
      <c r="N180" s="41"/>
      <c r="O180" s="46"/>
      <c r="P180" s="46"/>
      <c r="Q180" s="41"/>
      <c r="R180" s="41"/>
      <c r="S180" s="41"/>
      <c r="T180" s="41"/>
      <c r="U180" s="41"/>
      <c r="V180" s="41"/>
      <c r="W180" s="41"/>
      <c r="X180" s="41"/>
      <c r="Y180" s="103"/>
      <c r="Z180" s="41"/>
      <c r="AA180" s="41"/>
      <c r="AB180" s="41"/>
      <c r="AC180" s="41"/>
    </row>
    <row r="181" spans="1:29" s="2" customFormat="1" ht="14.25" customHeight="1" x14ac:dyDescent="0.25">
      <c r="A181" s="142">
        <v>8</v>
      </c>
      <c r="B181" s="3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s="2" customFormat="1" ht="14.25" customHeight="1" x14ac:dyDescent="0.25">
      <c r="A182" s="142"/>
      <c r="B182" s="40"/>
      <c r="C182" s="41"/>
      <c r="D182" s="41"/>
      <c r="E182" s="41"/>
      <c r="F182" s="41"/>
      <c r="G182" s="41"/>
      <c r="H182" s="41"/>
      <c r="I182" s="41"/>
      <c r="J182" s="41"/>
      <c r="K182" s="108"/>
      <c r="L182" s="41"/>
      <c r="M182" s="41"/>
      <c r="N182" s="41"/>
      <c r="O182" s="46"/>
      <c r="P182" s="46"/>
      <c r="Q182" s="41"/>
      <c r="R182" s="41"/>
      <c r="S182" s="41"/>
      <c r="T182" s="41"/>
      <c r="U182" s="41"/>
      <c r="V182" s="41"/>
      <c r="W182" s="41"/>
      <c r="X182" s="41"/>
      <c r="Y182" s="103"/>
      <c r="Z182" s="41"/>
      <c r="AA182" s="41"/>
      <c r="AB182" s="41"/>
      <c r="AC182" s="41"/>
    </row>
    <row r="183" spans="1:29" s="2" customFormat="1" ht="14.25" customHeight="1" x14ac:dyDescent="0.25">
      <c r="A183" s="142">
        <v>9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s="2" customFormat="1" ht="14.25" customHeight="1" x14ac:dyDescent="0.25">
      <c r="A184" s="142"/>
      <c r="B184" s="40"/>
      <c r="C184" s="41"/>
      <c r="D184" s="41"/>
      <c r="E184" s="41"/>
      <c r="F184" s="41"/>
      <c r="G184" s="41"/>
      <c r="H184" s="41"/>
      <c r="I184" s="41"/>
      <c r="J184" s="41"/>
      <c r="K184" s="108"/>
      <c r="L184" s="41"/>
      <c r="M184" s="41"/>
      <c r="N184" s="41"/>
      <c r="O184" s="46"/>
      <c r="P184" s="46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</row>
    <row r="185" spans="1:29" s="2" customFormat="1" ht="14.25" customHeight="1" thickBot="1" x14ac:dyDescent="0.3">
      <c r="A185" s="142">
        <v>10</v>
      </c>
      <c r="B185" s="213" t="s">
        <v>200</v>
      </c>
      <c r="C185" s="28">
        <f>[18]calculation!$G$27</f>
        <v>320000</v>
      </c>
      <c r="D185" s="28">
        <f>[18]calculation!$G$28</f>
        <v>200000</v>
      </c>
      <c r="E185" s="28">
        <f>[18]calculation!$G$73</f>
        <v>142000</v>
      </c>
      <c r="F185" s="183">
        <f>[18]calculation!$AA$49</f>
        <v>10000</v>
      </c>
      <c r="G185" s="28">
        <f>D185+E185+F185</f>
        <v>352000</v>
      </c>
      <c r="H185" s="86">
        <v>1200000</v>
      </c>
      <c r="I185" s="28">
        <v>1200000</v>
      </c>
      <c r="J185" s="112">
        <v>320000</v>
      </c>
      <c r="K185" s="200">
        <v>0</v>
      </c>
      <c r="L185" s="28">
        <v>3</v>
      </c>
      <c r="M185" s="28"/>
      <c r="N185" s="98">
        <f>D185/G185</f>
        <v>0.56818181818181823</v>
      </c>
      <c r="O185" s="116">
        <f>D185/H185</f>
        <v>0.16666666666666666</v>
      </c>
      <c r="P185" s="114">
        <f>D185/J185</f>
        <v>0.625</v>
      </c>
      <c r="Q185" s="99">
        <f>[18]calculation!$G$46</f>
        <v>-0.84721249999999992</v>
      </c>
      <c r="R185" s="28"/>
      <c r="S185" s="91">
        <f>[18]calculation!$H$34</f>
        <v>0.04</v>
      </c>
      <c r="T185" s="28">
        <f>[18]calculation!$G$34</f>
        <v>666.66666666666663</v>
      </c>
      <c r="U185" s="28">
        <f>[18]calculation!$G$35</f>
        <v>0</v>
      </c>
      <c r="V185" s="28">
        <f>[18]calculation!$G$36</f>
        <v>666.66666666666663</v>
      </c>
      <c r="W185" s="28"/>
      <c r="X185" s="94">
        <f>[18]calculation!$C$4</f>
        <v>45960</v>
      </c>
      <c r="Y185" s="94">
        <f>[18]calculation!$C$4</f>
        <v>45960</v>
      </c>
      <c r="Z185" s="94">
        <v>45899</v>
      </c>
      <c r="AA185" s="94"/>
      <c r="AB185" s="94"/>
      <c r="AC185" s="94"/>
    </row>
    <row r="186" spans="1:29" ht="14.25" customHeight="1" thickTop="1" x14ac:dyDescent="0.25">
      <c r="B186" s="14" t="s">
        <v>8</v>
      </c>
      <c r="C186" s="34">
        <f t="shared" ref="C186:J186" si="30">SUM(C167:C185)</f>
        <v>7120000</v>
      </c>
      <c r="D186" s="34">
        <f t="shared" si="30"/>
        <v>6250000</v>
      </c>
      <c r="E186" s="34">
        <f t="shared" si="30"/>
        <v>899428.53</v>
      </c>
      <c r="F186" s="34">
        <f t="shared" si="30"/>
        <v>10000</v>
      </c>
      <c r="G186" s="34">
        <f t="shared" si="30"/>
        <v>7159428.5299999993</v>
      </c>
      <c r="H186" s="34">
        <f t="shared" si="30"/>
        <v>12700000</v>
      </c>
      <c r="I186" s="34">
        <f t="shared" si="30"/>
        <v>9780253.3488372099</v>
      </c>
      <c r="J186" s="34">
        <f t="shared" si="30"/>
        <v>8070000</v>
      </c>
      <c r="K186" s="34"/>
      <c r="L186" s="34">
        <f>AVERAGE(L167:L185)</f>
        <v>21.000978702850912</v>
      </c>
      <c r="M186" s="34"/>
      <c r="N186" s="97">
        <f>AVERAGE(N167:N185)</f>
        <v>0.78151774566672871</v>
      </c>
      <c r="O186" s="97">
        <f>AVERAGE(O167:O185)</f>
        <v>0.42055348258706471</v>
      </c>
      <c r="P186" s="97">
        <f>AVERAGE(P167:P185)</f>
        <v>0.72970797246280261</v>
      </c>
      <c r="Q186" s="68">
        <f>AVERAGE(Q167:Q185)</f>
        <v>0.77977472653106294</v>
      </c>
      <c r="R186" s="34"/>
      <c r="S186" s="97">
        <f>AVERAGE(S167:S185)</f>
        <v>5.7500000000000002E-2</v>
      </c>
      <c r="T186" s="34">
        <f>SUM(T167:T185)</f>
        <v>31854.166666666668</v>
      </c>
      <c r="U186" s="34">
        <f>SUM(U167:U185)</f>
        <v>7401.4268043618376</v>
      </c>
      <c r="V186" s="34">
        <f>SUM(V167:V185)</f>
        <v>39255.5934710285</v>
      </c>
      <c r="W186" s="34"/>
      <c r="X186" s="34"/>
      <c r="Y186" s="34"/>
      <c r="Z186" s="34"/>
      <c r="AA186" s="34"/>
      <c r="AB186" s="34"/>
      <c r="AC186" s="34"/>
    </row>
    <row r="187" spans="1:29" ht="14.25" customHeight="1" x14ac:dyDescent="0.25">
      <c r="L187" s="8" t="s">
        <v>9</v>
      </c>
      <c r="N187" s="8" t="s">
        <v>9</v>
      </c>
      <c r="O187" s="8" t="s">
        <v>9</v>
      </c>
      <c r="P187" s="8" t="s">
        <v>9</v>
      </c>
      <c r="Q187" s="8" t="s">
        <v>9</v>
      </c>
      <c r="S187" s="8" t="s">
        <v>9</v>
      </c>
    </row>
    <row r="188" spans="1:29" ht="14.25" customHeight="1" x14ac:dyDescent="0.25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29" ht="14.25" customHeight="1" x14ac:dyDescent="0.25">
      <c r="C189" s="7"/>
      <c r="D189" s="18"/>
      <c r="I189" s="95">
        <v>8.5999999999999993E-2</v>
      </c>
    </row>
    <row r="190" spans="1:29" s="11" customFormat="1" ht="48" customHeight="1" x14ac:dyDescent="0.25">
      <c r="A190" s="9"/>
      <c r="B190" s="10" t="s">
        <v>148</v>
      </c>
      <c r="C190" s="9" t="s">
        <v>116</v>
      </c>
      <c r="D190" s="9" t="s">
        <v>4</v>
      </c>
      <c r="E190" s="9" t="s">
        <v>107</v>
      </c>
      <c r="F190" s="9" t="s">
        <v>131</v>
      </c>
      <c r="G190" s="9" t="s">
        <v>120</v>
      </c>
      <c r="H190" s="9" t="s">
        <v>117</v>
      </c>
      <c r="I190" s="9" t="s">
        <v>118</v>
      </c>
      <c r="J190" s="117" t="s">
        <v>136</v>
      </c>
      <c r="K190" s="9" t="s">
        <v>137</v>
      </c>
      <c r="L190" s="9" t="s">
        <v>119</v>
      </c>
      <c r="M190" s="1"/>
      <c r="N190" s="9" t="s">
        <v>121</v>
      </c>
      <c r="O190" s="9" t="s">
        <v>138</v>
      </c>
      <c r="P190" s="9" t="s">
        <v>139</v>
      </c>
      <c r="Q190" s="9" t="s">
        <v>110</v>
      </c>
      <c r="R190" s="1"/>
      <c r="S190" s="9" t="s">
        <v>5</v>
      </c>
      <c r="T190" s="9" t="s">
        <v>125</v>
      </c>
      <c r="U190" s="9" t="s">
        <v>126</v>
      </c>
      <c r="V190" s="9" t="s">
        <v>127</v>
      </c>
      <c r="W190" s="9"/>
      <c r="X190" s="9" t="s">
        <v>74</v>
      </c>
      <c r="Y190" s="9" t="s">
        <v>130</v>
      </c>
      <c r="Z190" s="9" t="s">
        <v>128</v>
      </c>
      <c r="AA190" s="9" t="s">
        <v>122</v>
      </c>
      <c r="AB190" s="9" t="s">
        <v>123</v>
      </c>
      <c r="AC190" s="9" t="s">
        <v>124</v>
      </c>
    </row>
    <row r="191" spans="1:29" s="2" customFormat="1" ht="14.25" customHeight="1" x14ac:dyDescent="0.25">
      <c r="A191" s="142">
        <v>1</v>
      </c>
      <c r="B191" s="151" t="s">
        <v>155</v>
      </c>
      <c r="C191" s="5">
        <f>[19]calculation!$G$30</f>
        <v>425000</v>
      </c>
      <c r="D191" s="5">
        <f>[19]calculation!$G$31</f>
        <v>591500</v>
      </c>
      <c r="E191" s="5">
        <f>[19]calculation!$G$76</f>
        <v>-127370.00000000003</v>
      </c>
      <c r="F191" s="53">
        <f>[19]calculation!$AA$52</f>
        <v>220000</v>
      </c>
      <c r="G191" s="5">
        <f>D191+E191+F191</f>
        <v>684130</v>
      </c>
      <c r="H191" s="32">
        <v>2200000</v>
      </c>
      <c r="I191" s="5">
        <f>P63/I189</f>
        <v>781940.11627906992</v>
      </c>
      <c r="J191" s="111">
        <f>[19]calculation!$G$25</f>
        <v>845000</v>
      </c>
      <c r="K191" s="107">
        <f>[19]calculation!$G$24</f>
        <v>44403</v>
      </c>
      <c r="L191" s="5">
        <f>G191/L63</f>
        <v>102.75307900270352</v>
      </c>
      <c r="M191" s="5"/>
      <c r="N191" s="96">
        <f>D191/G191</f>
        <v>0.86460175697601338</v>
      </c>
      <c r="O191" s="115">
        <f>D191/H191</f>
        <v>0.26886363636363636</v>
      </c>
      <c r="P191" s="113">
        <f>D191/J191</f>
        <v>0.7</v>
      </c>
      <c r="Q191" s="67">
        <f>[19]calculation!$G$49</f>
        <v>1.8138032319773028</v>
      </c>
      <c r="R191" s="5"/>
      <c r="S191" s="6">
        <f>[19]calculation!$H$37</f>
        <v>3.9E-2</v>
      </c>
      <c r="T191" s="5">
        <f>[19]calculation!$G$37</f>
        <v>1922.375</v>
      </c>
      <c r="U191" s="5">
        <f>[19]calculation!$G$38</f>
        <v>1167.2127060256512</v>
      </c>
      <c r="V191" s="5">
        <f>[19]calculation!$G$39</f>
        <v>3089.5877060256512</v>
      </c>
      <c r="W191" s="5"/>
      <c r="X191" s="57">
        <f>[19]calculation!$C$3</f>
        <v>43546</v>
      </c>
      <c r="Y191" s="57">
        <v>44433</v>
      </c>
      <c r="Z191" s="57">
        <v>46259</v>
      </c>
      <c r="AA191" s="57"/>
      <c r="AB191" s="57"/>
      <c r="AC191" s="57"/>
    </row>
    <row r="192" spans="1:29" s="2" customFormat="1" ht="14.25" customHeight="1" x14ac:dyDescent="0.25">
      <c r="A192" s="142"/>
      <c r="B192" s="40"/>
      <c r="C192" s="41"/>
      <c r="D192" s="41"/>
      <c r="E192" s="41"/>
      <c r="F192" s="41"/>
      <c r="G192" s="41"/>
      <c r="H192" s="41"/>
      <c r="I192" s="41"/>
      <c r="J192" s="41"/>
      <c r="K192" s="108"/>
      <c r="L192" s="41"/>
      <c r="M192" s="41"/>
      <c r="N192" s="41"/>
      <c r="O192" s="46"/>
      <c r="P192" s="46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</row>
    <row r="193" spans="1:29" s="2" customFormat="1" ht="14.25" customHeight="1" x14ac:dyDescent="0.25">
      <c r="A193" s="142">
        <v>2</v>
      </c>
      <c r="B193" s="151" t="s">
        <v>156</v>
      </c>
      <c r="C193" s="5">
        <f>[20]calculation!$G$33</f>
        <v>983863</v>
      </c>
      <c r="D193" s="5">
        <f>[20]calculation!$G$34</f>
        <v>894933.21</v>
      </c>
      <c r="E193" s="5">
        <f>[20]calculation!$G$79</f>
        <v>107653.78815000008</v>
      </c>
      <c r="F193" s="53">
        <f>[20]calculation!$AA$55</f>
        <v>80000</v>
      </c>
      <c r="G193" s="5">
        <f>D193+E193+F193</f>
        <v>1082586.9981499999</v>
      </c>
      <c r="H193" s="32">
        <v>2400000</v>
      </c>
      <c r="I193" s="5">
        <f>P65/I189</f>
        <v>1133317.3255813953</v>
      </c>
      <c r="J193" s="111">
        <f>[20]calculation!$G$28</f>
        <v>1530000</v>
      </c>
      <c r="K193" s="107">
        <f>[20]calculation!$G$27</f>
        <v>44678</v>
      </c>
      <c r="L193" s="5">
        <f>G193/L65</f>
        <v>45.107791589583329</v>
      </c>
      <c r="M193" s="5"/>
      <c r="N193" s="96">
        <f>D193/G193</f>
        <v>0.82666170158086527</v>
      </c>
      <c r="O193" s="115">
        <f>D193/H193</f>
        <v>0.37288883749999996</v>
      </c>
      <c r="P193" s="113">
        <f>D193/J193</f>
        <v>0.58492366666666662</v>
      </c>
      <c r="Q193" s="67">
        <f>[20]calculation!$G$52</f>
        <v>1.5649344546604234</v>
      </c>
      <c r="R193" s="5"/>
      <c r="S193" s="6">
        <f>[20]calculation!$H$40</f>
        <v>4.9200000000000001E-2</v>
      </c>
      <c r="T193" s="5">
        <f>[20]calculation!$G$40</f>
        <v>3669.226161</v>
      </c>
      <c r="U193" s="5">
        <f>[20]calculation!$G$41</f>
        <v>1520.8362571492785</v>
      </c>
      <c r="V193" s="5">
        <f>[20]calculation!$G$42</f>
        <v>5190.0624181492785</v>
      </c>
      <c r="W193" s="5"/>
      <c r="X193" s="57">
        <f>[20]calculation!$C$3</f>
        <v>44100</v>
      </c>
      <c r="Y193" s="57">
        <v>44770</v>
      </c>
      <c r="Z193" s="57">
        <v>46596</v>
      </c>
      <c r="AA193" s="57"/>
      <c r="AB193" s="57"/>
      <c r="AC193" s="57"/>
    </row>
    <row r="194" spans="1:29" s="2" customFormat="1" ht="14.25" customHeight="1" thickBot="1" x14ac:dyDescent="0.3">
      <c r="A194" s="142">
        <v>3</v>
      </c>
      <c r="B194" s="155" t="s">
        <v>157</v>
      </c>
      <c r="C194" s="28">
        <f>[21]calculation!$G$31</f>
        <v>335000</v>
      </c>
      <c r="D194" s="28">
        <f>[21]calculation!$G$32</f>
        <v>637566.79</v>
      </c>
      <c r="E194" s="28">
        <f>[21]calculation!$G$33</f>
        <v>-302566.79000000004</v>
      </c>
      <c r="F194" s="183">
        <f>[21]calculation!$AA$52</f>
        <v>120000</v>
      </c>
      <c r="G194" s="28">
        <f>D194+E194+F194</f>
        <v>455000</v>
      </c>
      <c r="H194" s="86">
        <v>1450000</v>
      </c>
      <c r="I194" s="28">
        <f>P66/I189</f>
        <v>575260.39534883737</v>
      </c>
      <c r="J194" s="112">
        <f>[21]calculation!$G$26</f>
        <v>1090000</v>
      </c>
      <c r="K194" s="110">
        <f>[21]calculation!$G$25</f>
        <v>44678</v>
      </c>
      <c r="L194" s="28">
        <f>G194/L66</f>
        <v>44.607843137254903</v>
      </c>
      <c r="M194" s="28"/>
      <c r="N194" s="98">
        <f>D194/G194</f>
        <v>1.4012456923076924</v>
      </c>
      <c r="O194" s="116">
        <f>D194/H194</f>
        <v>0.43970123448275866</v>
      </c>
      <c r="P194" s="114">
        <f>D194/J194</f>
        <v>0.58492366055045875</v>
      </c>
      <c r="Q194" s="99">
        <f>[21]calculation!$G$50</f>
        <v>1.1149978683784241</v>
      </c>
      <c r="R194" s="28"/>
      <c r="S194" s="91">
        <f>[21]calculation!$H$38</f>
        <v>4.9200000000000001E-2</v>
      </c>
      <c r="T194" s="28">
        <f>[21]calculation!$G$38</f>
        <v>2614.023839</v>
      </c>
      <c r="U194" s="28">
        <f>[21]calculation!$G$39</f>
        <v>1083.4715705614281</v>
      </c>
      <c r="V194" s="28">
        <f>[21]calculation!$G$40</f>
        <v>3697.495409561428</v>
      </c>
      <c r="W194" s="28"/>
      <c r="X194" s="94">
        <f>[21]calculation!$C$3</f>
        <v>43718</v>
      </c>
      <c r="Y194" s="94">
        <v>44770</v>
      </c>
      <c r="Z194" s="94">
        <v>46596</v>
      </c>
      <c r="AA194" s="94"/>
      <c r="AB194" s="94"/>
      <c r="AC194" s="94"/>
    </row>
    <row r="195" spans="1:29" ht="14.25" customHeight="1" thickTop="1" x14ac:dyDescent="0.25">
      <c r="B195" s="14" t="s">
        <v>8</v>
      </c>
      <c r="C195" s="34">
        <f t="shared" ref="C195:J195" si="31">SUM(C191:C194)</f>
        <v>1743863</v>
      </c>
      <c r="D195" s="34">
        <f t="shared" si="31"/>
        <v>2124000</v>
      </c>
      <c r="E195" s="34">
        <f t="shared" si="31"/>
        <v>-322283.00185</v>
      </c>
      <c r="F195" s="34">
        <f t="shared" si="31"/>
        <v>420000</v>
      </c>
      <c r="G195" s="34">
        <f t="shared" si="31"/>
        <v>2221716.9981499999</v>
      </c>
      <c r="H195" s="34">
        <f t="shared" si="31"/>
        <v>6050000</v>
      </c>
      <c r="I195" s="34">
        <f t="shared" si="31"/>
        <v>2490517.8372093029</v>
      </c>
      <c r="J195" s="34">
        <f t="shared" si="31"/>
        <v>3465000</v>
      </c>
      <c r="K195" s="34"/>
      <c r="L195" s="34">
        <f>AVERAGE(L191:L194)</f>
        <v>64.156237909847263</v>
      </c>
      <c r="M195" s="34"/>
      <c r="N195" s="16">
        <f>AVERAGE(N191:N194)</f>
        <v>1.0308363836215237</v>
      </c>
      <c r="O195" s="16">
        <f>AVERAGE(O191:O194)</f>
        <v>0.36048456944879836</v>
      </c>
      <c r="P195" s="16">
        <f>AVERAGE(P191:P194)</f>
        <v>0.62328244240570851</v>
      </c>
      <c r="Q195" s="68">
        <f>AVERAGE(Q191:Q194)</f>
        <v>1.4979118516720502</v>
      </c>
      <c r="R195" s="34"/>
      <c r="S195" s="16">
        <f>AVERAGE(S191:S194)</f>
        <v>4.58E-2</v>
      </c>
      <c r="T195" s="34">
        <f>SUM(T191:T194)</f>
        <v>8205.625</v>
      </c>
      <c r="U195" s="34">
        <f>SUM(U191:U194)</f>
        <v>3771.5205337363577</v>
      </c>
      <c r="V195" s="34">
        <f>SUM(V191:V194)</f>
        <v>11977.145533736359</v>
      </c>
      <c r="W195" s="34"/>
      <c r="X195" s="34"/>
      <c r="Y195" s="34"/>
      <c r="Z195" s="34"/>
      <c r="AA195" s="34"/>
      <c r="AB195" s="34"/>
      <c r="AC195" s="34"/>
    </row>
    <row r="196" spans="1:29" ht="14.25" customHeight="1" x14ac:dyDescent="0.25">
      <c r="L196" s="8" t="s">
        <v>9</v>
      </c>
      <c r="N196" s="8" t="s">
        <v>9</v>
      </c>
      <c r="O196" s="8" t="s">
        <v>9</v>
      </c>
      <c r="P196" s="8" t="s">
        <v>9</v>
      </c>
      <c r="Q196" s="8" t="s">
        <v>9</v>
      </c>
      <c r="S196" s="8" t="s">
        <v>9</v>
      </c>
    </row>
    <row r="197" spans="1:29" ht="14.25" customHeight="1" x14ac:dyDescent="0.25"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29" ht="14.25" customHeight="1" x14ac:dyDescent="0.25">
      <c r="C198" s="8"/>
      <c r="D198" s="8"/>
      <c r="E198" s="8"/>
      <c r="F198" s="8"/>
      <c r="G198" s="8"/>
      <c r="H198" s="8"/>
      <c r="I198" s="95">
        <v>7.5999999999999998E-2</v>
      </c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29" s="11" customFormat="1" ht="48" customHeight="1" x14ac:dyDescent="0.25">
      <c r="A199" s="9"/>
      <c r="B199" s="10" t="s">
        <v>152</v>
      </c>
      <c r="C199" s="9" t="s">
        <v>116</v>
      </c>
      <c r="D199" s="9" t="s">
        <v>4</v>
      </c>
      <c r="E199" s="9" t="s">
        <v>107</v>
      </c>
      <c r="F199" s="9" t="s">
        <v>131</v>
      </c>
      <c r="G199" s="9" t="s">
        <v>120</v>
      </c>
      <c r="H199" s="9" t="s">
        <v>117</v>
      </c>
      <c r="I199" s="9" t="s">
        <v>118</v>
      </c>
      <c r="J199" s="117" t="s">
        <v>136</v>
      </c>
      <c r="K199" s="9" t="s">
        <v>137</v>
      </c>
      <c r="L199" s="9" t="s">
        <v>119</v>
      </c>
      <c r="M199" s="1"/>
      <c r="N199" s="9" t="s">
        <v>121</v>
      </c>
      <c r="O199" s="9" t="s">
        <v>138</v>
      </c>
      <c r="P199" s="9" t="s">
        <v>139</v>
      </c>
      <c r="Q199" s="9" t="s">
        <v>110</v>
      </c>
      <c r="R199" s="1"/>
      <c r="S199" s="9" t="s">
        <v>5</v>
      </c>
      <c r="T199" s="9" t="s">
        <v>125</v>
      </c>
      <c r="U199" s="9" t="s">
        <v>126</v>
      </c>
      <c r="V199" s="9" t="s">
        <v>127</v>
      </c>
      <c r="W199" s="9"/>
      <c r="X199" s="9" t="s">
        <v>74</v>
      </c>
      <c r="Y199" s="9" t="s">
        <v>130</v>
      </c>
      <c r="Z199" s="9" t="s">
        <v>128</v>
      </c>
      <c r="AA199" s="9" t="s">
        <v>122</v>
      </c>
      <c r="AB199" s="9" t="s">
        <v>123</v>
      </c>
      <c r="AC199" s="9" t="s">
        <v>124</v>
      </c>
    </row>
    <row r="200" spans="1:29" s="2" customFormat="1" ht="14.25" customHeight="1" x14ac:dyDescent="0.25">
      <c r="A200" s="142">
        <v>1</v>
      </c>
      <c r="B200" s="19" t="s">
        <v>158</v>
      </c>
      <c r="C200" s="5">
        <f>[22]calculation!$G$26</f>
        <v>360000</v>
      </c>
      <c r="D200" s="5">
        <f>[22]calculation!$G$27</f>
        <v>342000</v>
      </c>
      <c r="E200" s="5">
        <f>[22]calculation!$G$72</f>
        <v>32170.000000000015</v>
      </c>
      <c r="F200" s="53">
        <v>0</v>
      </c>
      <c r="G200" s="5">
        <f>D200+E200+F200</f>
        <v>374170</v>
      </c>
      <c r="H200" s="32">
        <v>640000</v>
      </c>
      <c r="I200" s="5">
        <f>P72/I198</f>
        <v>205583.15789473685</v>
      </c>
      <c r="J200" s="111">
        <f>[22]calculation!$G$21</f>
        <v>360000</v>
      </c>
      <c r="K200" s="107">
        <f>[22]calculation!$G$20</f>
        <v>44581</v>
      </c>
      <c r="L200" s="5">
        <f>G200/L72</f>
        <v>171.32326007326009</v>
      </c>
      <c r="M200" s="5"/>
      <c r="N200" s="96">
        <f>D200/G200</f>
        <v>0.91402303765668014</v>
      </c>
      <c r="O200" s="115">
        <f>D200/H200</f>
        <v>0.53437500000000004</v>
      </c>
      <c r="P200" s="113">
        <f>D200/J200</f>
        <v>0.95</v>
      </c>
      <c r="Q200" s="67">
        <f>[22]calculation!$G$45</f>
        <v>0.83531082048385019</v>
      </c>
      <c r="R200" s="5"/>
      <c r="S200" s="6">
        <f>[22]calculation!$H$33</f>
        <v>3.6200000000000003E-2</v>
      </c>
      <c r="T200" s="5">
        <f>[22]calculation!$G$33</f>
        <v>1031.7</v>
      </c>
      <c r="U200" s="5">
        <f>[22]calculation!$G$34</f>
        <v>527.03315026910968</v>
      </c>
      <c r="V200" s="5">
        <f>[22]calculation!$G$35</f>
        <v>1558.7331502691097</v>
      </c>
      <c r="W200" s="5"/>
      <c r="X200" s="57">
        <f>[22]calculation!$C$3</f>
        <v>44600</v>
      </c>
      <c r="Y200" s="57">
        <f>[22]calculation!$C$3</f>
        <v>44600</v>
      </c>
      <c r="Z200" s="57">
        <v>55557</v>
      </c>
      <c r="AA200" s="57"/>
      <c r="AB200" s="57"/>
      <c r="AC200" s="57"/>
    </row>
    <row r="201" spans="1:29" s="2" customFormat="1" ht="14.25" customHeight="1" x14ac:dyDescent="0.25">
      <c r="A201" s="142"/>
      <c r="B201" s="40"/>
      <c r="C201" s="41"/>
      <c r="D201" s="41"/>
      <c r="E201" s="41"/>
      <c r="F201" s="41"/>
      <c r="G201" s="41"/>
      <c r="H201" s="41"/>
      <c r="I201" s="41"/>
      <c r="J201" s="41"/>
      <c r="K201" s="108"/>
      <c r="L201" s="41"/>
      <c r="M201" s="41"/>
      <c r="N201" s="41"/>
      <c r="O201" s="46"/>
      <c r="P201" s="46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1"/>
      <c r="AB201" s="1"/>
    </row>
    <row r="202" spans="1:29" s="2" customFormat="1" ht="14.25" customHeight="1" x14ac:dyDescent="0.25">
      <c r="A202" s="142">
        <v>2</v>
      </c>
      <c r="B202" t="s">
        <v>159</v>
      </c>
      <c r="C202" s="5">
        <f>[23]calculation!$G$26</f>
        <v>232000</v>
      </c>
      <c r="D202" s="5">
        <f>[23]calculation!$G$27</f>
        <v>220400</v>
      </c>
      <c r="E202" s="5">
        <f>[23]calculation!$G$72</f>
        <v>24706.000000000011</v>
      </c>
      <c r="F202" s="53">
        <f>[23]calculation!$AA$48</f>
        <v>50000</v>
      </c>
      <c r="G202" s="5">
        <f>D202+E202+F202</f>
        <v>295106</v>
      </c>
      <c r="H202" s="32">
        <v>420000</v>
      </c>
      <c r="I202" s="5">
        <f>P74/I198</f>
        <v>257639.4736842105</v>
      </c>
      <c r="J202" s="111">
        <f>[23]calculation!$G$21</f>
        <v>232000</v>
      </c>
      <c r="K202" s="107">
        <f>[23]calculation!$G$20</f>
        <v>44040</v>
      </c>
      <c r="L202" s="5">
        <f>G202/L74</f>
        <v>296.29116465863456</v>
      </c>
      <c r="M202" s="5"/>
      <c r="N202" s="96">
        <f>D202/G202</f>
        <v>0.74685028430462275</v>
      </c>
      <c r="O202" s="115">
        <f>D202/H202</f>
        <v>0.52476190476190476</v>
      </c>
      <c r="P202" s="113">
        <f>D202/J202</f>
        <v>0.95</v>
      </c>
      <c r="Q202" s="67">
        <f>[23]calculation!$G$45</f>
        <v>1.7844221240211049</v>
      </c>
      <c r="R202" s="5"/>
      <c r="S202" s="6">
        <f>[23]calculation!$H$33</f>
        <v>2.8750000000000001E-2</v>
      </c>
      <c r="T202" s="5">
        <f>[23]calculation!$G$33</f>
        <v>528.04166666666663</v>
      </c>
      <c r="U202" s="5">
        <f>[23]calculation!$G$34</f>
        <v>386.38135280905897</v>
      </c>
      <c r="V202" s="5">
        <f>[23]calculation!$G$35</f>
        <v>914.4230194757256</v>
      </c>
      <c r="W202" s="5"/>
      <c r="X202" s="57">
        <f>[23]calculation!$C$3</f>
        <v>44040</v>
      </c>
      <c r="Y202" s="57">
        <f>[23]calculation!$C$3</f>
        <v>44040</v>
      </c>
      <c r="Z202" s="57">
        <v>54997</v>
      </c>
      <c r="AA202" s="57"/>
      <c r="AB202" s="57"/>
      <c r="AC202" s="57"/>
    </row>
    <row r="203" spans="1:29" s="2" customFormat="1" ht="14.25" customHeight="1" x14ac:dyDescent="0.25">
      <c r="A203" s="142"/>
      <c r="B203" s="40"/>
      <c r="C203" s="41"/>
      <c r="D203" s="41"/>
      <c r="E203" s="41"/>
      <c r="F203" s="41"/>
      <c r="G203" s="41"/>
      <c r="H203" s="41"/>
      <c r="I203" s="41"/>
      <c r="J203" s="41"/>
      <c r="K203" s="108"/>
      <c r="L203" s="41"/>
      <c r="M203" s="41"/>
      <c r="N203" s="41"/>
      <c r="O203" s="46"/>
      <c r="P203" s="46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1"/>
      <c r="AB203" s="1"/>
    </row>
    <row r="204" spans="1:29" s="2" customFormat="1" ht="14.25" customHeight="1" x14ac:dyDescent="0.25">
      <c r="A204" s="142">
        <v>3</v>
      </c>
      <c r="B204" s="19" t="s">
        <v>160</v>
      </c>
      <c r="C204" s="5">
        <f>[24]calculation!$G$26</f>
        <v>560000</v>
      </c>
      <c r="D204" s="5">
        <f>[24]calculation!$G$27</f>
        <v>532000</v>
      </c>
      <c r="E204" s="5">
        <f>[24]calculation!$G$72</f>
        <v>48080.000000000029</v>
      </c>
      <c r="F204" s="53">
        <f>[24]calculation!$AA$48</f>
        <v>30000</v>
      </c>
      <c r="G204" s="5">
        <f>D204+E204+F204</f>
        <v>610080</v>
      </c>
      <c r="H204" s="32">
        <v>1200000</v>
      </c>
      <c r="I204" s="5">
        <f>P76/I198</f>
        <v>-184498.94736842107</v>
      </c>
      <c r="J204" s="111">
        <f>[24]calculation!$G$21</f>
        <v>560000</v>
      </c>
      <c r="K204" s="107">
        <f>[24]calculation!$G$20</f>
        <v>45316</v>
      </c>
      <c r="L204" s="5">
        <f>G204/L76</f>
        <v>262.28718830610489</v>
      </c>
      <c r="M204" s="5"/>
      <c r="N204" s="96">
        <f>D204/G204</f>
        <v>0.87201678468397592</v>
      </c>
      <c r="O204" s="115">
        <f>D204/H204</f>
        <v>0.44333333333333336</v>
      </c>
      <c r="P204" s="113">
        <f>D204/J204</f>
        <v>0.95</v>
      </c>
      <c r="Q204" s="67">
        <f>[24]calculation!$G$45</f>
        <v>-0.3292451767540211</v>
      </c>
      <c r="R204" s="5"/>
      <c r="S204" s="6">
        <f>[24]calculation!$H$33</f>
        <v>6.3700000000000007E-2</v>
      </c>
      <c r="T204" s="5">
        <f>[24]calculation!$G$33</f>
        <v>2824.0333333333333</v>
      </c>
      <c r="U204" s="5">
        <f>[24]calculation!$G$34</f>
        <v>724.97335175567605</v>
      </c>
      <c r="V204" s="5">
        <f>[24]calculation!$G$35</f>
        <v>3549.0066850890094</v>
      </c>
      <c r="W204" s="5"/>
      <c r="X204" s="57">
        <f>[24]calculation!$C$3</f>
        <v>45334</v>
      </c>
      <c r="Y204" s="57">
        <v>45334</v>
      </c>
      <c r="Z204" s="57">
        <v>56292</v>
      </c>
      <c r="AA204" s="57"/>
      <c r="AB204" s="57"/>
      <c r="AC204" s="57"/>
    </row>
    <row r="205" spans="1:29" s="2" customFormat="1" ht="14.25" customHeight="1" x14ac:dyDescent="0.25">
      <c r="A205" s="142"/>
      <c r="B205" s="40"/>
      <c r="C205" s="41"/>
      <c r="D205" s="41"/>
      <c r="E205" s="41"/>
      <c r="F205" s="41"/>
      <c r="G205" s="41"/>
      <c r="H205" s="41"/>
      <c r="I205" s="41"/>
      <c r="J205" s="41"/>
      <c r="K205" s="108"/>
      <c r="L205" s="41"/>
      <c r="M205" s="41"/>
      <c r="N205" s="41"/>
      <c r="O205" s="46"/>
      <c r="P205" s="46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1"/>
      <c r="AB205" s="1"/>
    </row>
    <row r="206" spans="1:29" s="2" customFormat="1" ht="14.25" customHeight="1" x14ac:dyDescent="0.25">
      <c r="A206" s="142">
        <v>4</v>
      </c>
      <c r="B206" s="151" t="s">
        <v>161</v>
      </c>
      <c r="C206" s="5">
        <f>[25]calculation!$G$26</f>
        <v>333000</v>
      </c>
      <c r="D206" s="5">
        <f>[25]calculation!$G$27</f>
        <v>269730</v>
      </c>
      <c r="E206" s="5">
        <f>[25]calculation!$G$72</f>
        <v>79615.949999999983</v>
      </c>
      <c r="F206" s="53">
        <f>[25]calculation!$AA$48</f>
        <v>0</v>
      </c>
      <c r="G206" s="5">
        <f>D206+E206+F206</f>
        <v>349345.94999999995</v>
      </c>
      <c r="H206" s="32">
        <v>550000</v>
      </c>
      <c r="I206" s="5">
        <f>P78/I198</f>
        <v>-45342.105263157893</v>
      </c>
      <c r="J206" s="111">
        <f>[25]calculation!$G$21</f>
        <v>333000</v>
      </c>
      <c r="K206" s="107">
        <f>[25]calculation!$G$20</f>
        <v>44921</v>
      </c>
      <c r="L206" s="5">
        <f>G206/L78</f>
        <v>298.58628205128201</v>
      </c>
      <c r="M206" s="5"/>
      <c r="N206" s="96">
        <f>D206/G206</f>
        <v>0.77209997711437628</v>
      </c>
      <c r="O206" s="115">
        <f>D206/H206</f>
        <v>0.49041818181818181</v>
      </c>
      <c r="P206" s="113">
        <f>D206/J206</f>
        <v>0.81</v>
      </c>
      <c r="Q206" s="67">
        <f>[25]calculation!$G$45</f>
        <v>-0.21771114574987738</v>
      </c>
      <c r="R206" s="5"/>
      <c r="S206" s="6">
        <f>[25]calculation!$H$33</f>
        <v>4.2000000000000003E-2</v>
      </c>
      <c r="T206" s="5">
        <f>[25]calculation!$G$33</f>
        <v>944.05499999999995</v>
      </c>
      <c r="U206" s="5">
        <f>[25]calculation!$G$34</f>
        <v>374.9710226574939</v>
      </c>
      <c r="V206" s="5">
        <f>[25]calculation!$G$35</f>
        <v>1319.0260226574937</v>
      </c>
      <c r="W206" s="5"/>
      <c r="X206" s="57">
        <f>[25]calculation!$C$3</f>
        <v>44921</v>
      </c>
      <c r="Y206" s="57">
        <f>[25]calculation!$C$3</f>
        <v>44921</v>
      </c>
      <c r="Z206" s="57">
        <v>55879</v>
      </c>
      <c r="AA206" s="57"/>
      <c r="AB206" s="57"/>
      <c r="AC206" s="57"/>
    </row>
    <row r="207" spans="1:29" s="2" customFormat="1" ht="14.25" customHeight="1" x14ac:dyDescent="0.25">
      <c r="A207" s="142"/>
      <c r="B207" s="40"/>
      <c r="C207" s="41"/>
      <c r="D207" s="41"/>
      <c r="E207" s="41"/>
      <c r="F207" s="41"/>
      <c r="G207" s="41"/>
      <c r="H207" s="41"/>
      <c r="I207" s="41"/>
      <c r="J207" s="41"/>
      <c r="K207" s="108"/>
      <c r="L207" s="41"/>
      <c r="M207" s="41"/>
      <c r="N207" s="41"/>
      <c r="O207" s="46"/>
      <c r="P207" s="46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1"/>
      <c r="AB207" s="1"/>
    </row>
    <row r="208" spans="1:29" s="2" customFormat="1" ht="14.25" customHeight="1" x14ac:dyDescent="0.25">
      <c r="A208" s="142">
        <v>5</v>
      </c>
      <c r="B208" s="151" t="s">
        <v>162</v>
      </c>
      <c r="C208" s="5">
        <f>[26]calculation!$G$26</f>
        <v>60000</v>
      </c>
      <c r="D208" s="5">
        <f>[26]calculation!$G$27</f>
        <v>206500</v>
      </c>
      <c r="E208" s="5">
        <f>[26]calculation!$G$72</f>
        <v>-131102.5</v>
      </c>
      <c r="F208" s="53">
        <f>[26]calculation!$AA$48</f>
        <v>20000</v>
      </c>
      <c r="G208" s="5">
        <f>D208+E208+F208</f>
        <v>95397.5</v>
      </c>
      <c r="H208" s="32">
        <v>300000</v>
      </c>
      <c r="I208" s="5">
        <f>P80/I198</f>
        <v>233310.78947368421</v>
      </c>
      <c r="J208" s="111">
        <f>[26]calculation!$G$21</f>
        <v>295000</v>
      </c>
      <c r="K208" s="107">
        <f>[26]calculation!$G$20</f>
        <v>45528</v>
      </c>
      <c r="L208" s="5">
        <f>G208/L80</f>
        <v>131.04052197802199</v>
      </c>
      <c r="M208" s="5"/>
      <c r="N208" s="96">
        <f>D208/G208</f>
        <v>2.1646269556330093</v>
      </c>
      <c r="O208" s="115">
        <f>D208/H208</f>
        <v>0.68833333333333335</v>
      </c>
      <c r="P208" s="113">
        <f>D208/J208</f>
        <v>0.7</v>
      </c>
      <c r="Q208" s="67">
        <f>[26]calculation!$G$45</f>
        <v>1.1643038535724546</v>
      </c>
      <c r="R208" s="5"/>
      <c r="S208" s="6">
        <f>[26]calculation!$H$33</f>
        <v>7.3749999999999996E-2</v>
      </c>
      <c r="T208" s="5">
        <f>[26]calculation!$G$33</f>
        <v>1269.1145833333333</v>
      </c>
      <c r="U208" s="5">
        <f>[26]calculation!$G$34</f>
        <v>0</v>
      </c>
      <c r="V208" s="5">
        <f>[26]calculation!$G$35</f>
        <v>1269.1145833333333</v>
      </c>
      <c r="W208" s="5"/>
      <c r="X208" s="57">
        <f>[26]calculation!$C$3</f>
        <v>41066</v>
      </c>
      <c r="Y208" s="57">
        <v>45664</v>
      </c>
      <c r="Z208" s="57">
        <v>47490</v>
      </c>
      <c r="AA208" s="57"/>
      <c r="AB208" s="57"/>
      <c r="AC208" s="57"/>
    </row>
    <row r="209" spans="1:29" s="2" customFormat="1" ht="14.25" customHeight="1" x14ac:dyDescent="0.25">
      <c r="A209" s="142">
        <v>6</v>
      </c>
      <c r="B209" s="151" t="s">
        <v>163</v>
      </c>
      <c r="C209" s="5">
        <f>[27]calculation!$G$26</f>
        <v>60000</v>
      </c>
      <c r="D209" s="5">
        <f>[27]calculation!$G$27</f>
        <v>206500</v>
      </c>
      <c r="E209" s="5">
        <f>[27]calculation!$G$72</f>
        <v>-131102.5</v>
      </c>
      <c r="F209" s="53">
        <f>[27]calculation!$AA$48</f>
        <v>20000</v>
      </c>
      <c r="G209" s="5">
        <f>D209+E209+F209</f>
        <v>95397.5</v>
      </c>
      <c r="H209" s="32">
        <v>300000</v>
      </c>
      <c r="I209" s="5">
        <f>P81/I198</f>
        <v>231771.05263157893</v>
      </c>
      <c r="J209" s="111">
        <f>[27]calculation!$G$21</f>
        <v>295000</v>
      </c>
      <c r="K209" s="107">
        <f>[27]calculation!$G$20</f>
        <v>45541</v>
      </c>
      <c r="L209" s="5">
        <f>G209/L81</f>
        <v>131.04052197802199</v>
      </c>
      <c r="M209" s="5"/>
      <c r="N209" s="96">
        <f>D209/G209</f>
        <v>2.1646269556330093</v>
      </c>
      <c r="O209" s="115">
        <f>D209/H209</f>
        <v>0.68833333333333335</v>
      </c>
      <c r="P209" s="113">
        <f>D209/J209</f>
        <v>0.7</v>
      </c>
      <c r="Q209" s="67">
        <f>[27]calculation!$G$45</f>
        <v>1.1566200188779907</v>
      </c>
      <c r="R209" s="5"/>
      <c r="S209" s="6">
        <f>[27]calculation!$H$33</f>
        <v>7.3749999999999996E-2</v>
      </c>
      <c r="T209" s="5">
        <f>[27]calculation!$G$33</f>
        <v>1269.1145833333333</v>
      </c>
      <c r="U209" s="5">
        <f>[27]calculation!$G$34</f>
        <v>0</v>
      </c>
      <c r="V209" s="5">
        <f>[27]calculation!$G$35</f>
        <v>1269.1145833333333</v>
      </c>
      <c r="W209" s="5"/>
      <c r="X209" s="57">
        <f>[27]calculation!$C$3</f>
        <v>41348</v>
      </c>
      <c r="Y209" s="57">
        <v>45664</v>
      </c>
      <c r="Z209" s="57">
        <v>47490</v>
      </c>
      <c r="AA209" s="57"/>
      <c r="AB209" s="57"/>
      <c r="AC209" s="57"/>
    </row>
    <row r="210" spans="1:29" s="2" customFormat="1" ht="14.25" customHeight="1" x14ac:dyDescent="0.25">
      <c r="A210" s="142">
        <v>7</v>
      </c>
      <c r="B210" s="151" t="s">
        <v>164</v>
      </c>
      <c r="C210" s="5">
        <f>[28]calculation!$G$26</f>
        <v>60000</v>
      </c>
      <c r="D210" s="5">
        <f>[28]calculation!$G$27</f>
        <v>189000</v>
      </c>
      <c r="E210" s="5">
        <f>[28]calculation!$G$72</f>
        <v>-113865</v>
      </c>
      <c r="F210" s="53">
        <f>[28]calculation!$AA$48</f>
        <v>20000</v>
      </c>
      <c r="G210" s="5">
        <f>D210+E210+F210</f>
        <v>95135</v>
      </c>
      <c r="H210" s="32">
        <v>300000</v>
      </c>
      <c r="I210" s="5">
        <f>P82/I198</f>
        <v>210421.71052631579</v>
      </c>
      <c r="J210" s="111">
        <f>[28]calculation!$G$21</f>
        <v>270000</v>
      </c>
      <c r="K210" s="107">
        <f>[28]calculation!$G$20</f>
        <v>45542</v>
      </c>
      <c r="L210" s="5">
        <f>G210/L82</f>
        <v>130.67994505494505</v>
      </c>
      <c r="M210" s="5"/>
      <c r="N210" s="96">
        <f>D210/G210</f>
        <v>1.9866505492195301</v>
      </c>
      <c r="O210" s="115">
        <f>D210/H210</f>
        <v>0.63</v>
      </c>
      <c r="P210" s="113">
        <f>D210/J210</f>
        <v>0.7</v>
      </c>
      <c r="Q210" s="67">
        <f>[28]calculation!$G$45</f>
        <v>1.1473087615460498</v>
      </c>
      <c r="R210" s="5"/>
      <c r="S210" s="6">
        <f>[28]calculation!$H$33</f>
        <v>7.3749999999999996E-2</v>
      </c>
      <c r="T210" s="5">
        <f>[28]calculation!$G$33</f>
        <v>1161.5625</v>
      </c>
      <c r="U210" s="5">
        <f>[28]calculation!$G$34</f>
        <v>0</v>
      </c>
      <c r="V210" s="5">
        <f>[28]calculation!$G$35</f>
        <v>1161.5625</v>
      </c>
      <c r="W210" s="5"/>
      <c r="X210" s="57">
        <f>[28]calculation!$C$3</f>
        <v>40672</v>
      </c>
      <c r="Y210" s="57">
        <v>45664</v>
      </c>
      <c r="Z210" s="57">
        <v>47490</v>
      </c>
      <c r="AA210" s="57"/>
      <c r="AB210" s="57"/>
      <c r="AC210" s="57"/>
    </row>
    <row r="211" spans="1:29" s="2" customFormat="1" ht="14.25" customHeight="1" x14ac:dyDescent="0.25">
      <c r="A211" s="142"/>
      <c r="B211" s="40"/>
      <c r="C211" s="41"/>
      <c r="D211" s="41"/>
      <c r="E211" s="41"/>
      <c r="F211" s="41"/>
      <c r="G211" s="41"/>
      <c r="H211" s="41"/>
      <c r="I211" s="41"/>
      <c r="J211" s="41"/>
      <c r="K211" s="108"/>
      <c r="L211" s="41"/>
      <c r="M211" s="41"/>
      <c r="N211" s="41"/>
      <c r="O211" s="46"/>
      <c r="P211" s="46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1"/>
      <c r="AB211" s="1"/>
    </row>
    <row r="212" spans="1:29" s="2" customFormat="1" ht="14.25" customHeight="1" x14ac:dyDescent="0.25">
      <c r="A212" s="142">
        <v>8</v>
      </c>
      <c r="B212" s="151" t="s">
        <v>165</v>
      </c>
      <c r="C212" s="5">
        <f>[29]calculation!$G$27</f>
        <v>43500</v>
      </c>
      <c r="D212" s="5">
        <f>[29]calculation!$G$28</f>
        <v>178500.00000000003</v>
      </c>
      <c r="E212" s="5">
        <f>[29]calculation!$G$73</f>
        <v>-120022.50000000003</v>
      </c>
      <c r="F212" s="53">
        <f>[29]calculation!$AA$49</f>
        <v>50000</v>
      </c>
      <c r="G212" s="5">
        <f>D212+E212+F212</f>
        <v>108477.5</v>
      </c>
      <c r="H212" s="32">
        <v>460000</v>
      </c>
      <c r="I212" s="5">
        <f>P84/I198</f>
        <v>456250.5263157895</v>
      </c>
      <c r="J212" s="111">
        <f>[29]calculation!$G$22</f>
        <v>255000</v>
      </c>
      <c r="K212" s="107">
        <f>[29]calculation!$G$21</f>
        <v>45409</v>
      </c>
      <c r="L212" s="5">
        <f>G212/L84</f>
        <v>69.536858974358978</v>
      </c>
      <c r="M212" s="5"/>
      <c r="N212" s="96">
        <f>D212/G212</f>
        <v>1.6455025235647949</v>
      </c>
      <c r="O212" s="115">
        <f>D212/H212</f>
        <v>0.3880434782608696</v>
      </c>
      <c r="P212" s="113">
        <f>D212/J212</f>
        <v>0.70000000000000007</v>
      </c>
      <c r="Q212" s="67">
        <f>[29]calculation!$G$46</f>
        <v>2.5901056956115776</v>
      </c>
      <c r="R212" s="5"/>
      <c r="S212" s="6">
        <f>[29]calculation!$H$34</f>
        <v>7.4999999999999997E-2</v>
      </c>
      <c r="T212" s="5">
        <f>[29]calculation!$G$34</f>
        <v>1115.6250000000002</v>
      </c>
      <c r="U212" s="5">
        <f>[29]calculation!$G$35</f>
        <v>0</v>
      </c>
      <c r="V212" s="5">
        <f>[29]calculation!$G$36</f>
        <v>1115.6250000000002</v>
      </c>
      <c r="W212" s="5"/>
      <c r="X212" s="57">
        <f>[29]calculation!$C$3</f>
        <v>41911</v>
      </c>
      <c r="Y212" s="57">
        <v>45664</v>
      </c>
      <c r="Z212" s="57">
        <v>47490</v>
      </c>
      <c r="AA212" s="57"/>
      <c r="AB212" s="57"/>
      <c r="AC212" s="57"/>
    </row>
    <row r="213" spans="1:29" s="2" customFormat="1" ht="14.25" customHeight="1" x14ac:dyDescent="0.25">
      <c r="A213" s="142">
        <v>9</v>
      </c>
      <c r="B213" s="151" t="s">
        <v>166</v>
      </c>
      <c r="C213" s="5">
        <f>[30]calculation!$G$26</f>
        <v>25000</v>
      </c>
      <c r="D213" s="5">
        <f>[30]calculation!$G$27</f>
        <v>238000</v>
      </c>
      <c r="E213" s="5">
        <f>[30]calculation!$G$72</f>
        <v>-197130</v>
      </c>
      <c r="F213" s="53">
        <f>[30]calculation!$AA$48</f>
        <v>40000</v>
      </c>
      <c r="G213" s="5">
        <f>D213+E213+F213</f>
        <v>80870</v>
      </c>
      <c r="H213" s="32">
        <v>360000</v>
      </c>
      <c r="I213" s="5">
        <f>P85/I198</f>
        <v>340360.5263157895</v>
      </c>
      <c r="J213" s="111">
        <f>[30]calculation!$G$21</f>
        <v>340000</v>
      </c>
      <c r="K213" s="107">
        <f>[30]calculation!$G$20</f>
        <v>45409</v>
      </c>
      <c r="L213" s="5">
        <f>G213/L85</f>
        <v>51.839743589743591</v>
      </c>
      <c r="M213" s="5"/>
      <c r="N213" s="96">
        <f>D213/G213</f>
        <v>2.9429949301347844</v>
      </c>
      <c r="O213" s="115">
        <f>D213/H213</f>
        <v>0.66111111111111109</v>
      </c>
      <c r="P213" s="113">
        <f>D213/J213</f>
        <v>0.7</v>
      </c>
      <c r="Q213" s="67">
        <f>[30]calculation!$G$45</f>
        <v>1.4491540616246499</v>
      </c>
      <c r="R213" s="5"/>
      <c r="S213" s="6">
        <f>[30]calculation!$H$33</f>
        <v>7.4999999999999997E-2</v>
      </c>
      <c r="T213" s="5">
        <f>[30]calculation!$G$33</f>
        <v>1487.5</v>
      </c>
      <c r="U213" s="5">
        <f>[30]calculation!$G$34</f>
        <v>0</v>
      </c>
      <c r="V213" s="5">
        <f>[30]calculation!$G$35</f>
        <v>1487.5</v>
      </c>
      <c r="W213" s="5"/>
      <c r="X213" s="57">
        <f>[30]calculation!$C$3</f>
        <v>41911</v>
      </c>
      <c r="Y213" s="57">
        <v>45664</v>
      </c>
      <c r="Z213" s="57">
        <v>47490</v>
      </c>
      <c r="AA213" s="57"/>
      <c r="AB213" s="57"/>
      <c r="AC213" s="57"/>
    </row>
    <row r="214" spans="1:29" s="2" customFormat="1" ht="14.25" customHeight="1" x14ac:dyDescent="0.25">
      <c r="A214" s="142">
        <v>10</v>
      </c>
      <c r="B214" s="156" t="s">
        <v>167</v>
      </c>
      <c r="C214" s="5">
        <f>[31]calculation!$G$27</f>
        <v>61000</v>
      </c>
      <c r="D214" s="5">
        <f>[31]calculation!$G$28</f>
        <v>304500</v>
      </c>
      <c r="E214" s="5">
        <f>[31]calculation!$G$73</f>
        <v>-226632.5</v>
      </c>
      <c r="F214" s="53">
        <f>[31]calculation!$AA$49</f>
        <v>50000</v>
      </c>
      <c r="G214" s="5">
        <f>D214+E214+F214</f>
        <v>127867.5</v>
      </c>
      <c r="H214" s="32">
        <v>460000</v>
      </c>
      <c r="I214" s="5">
        <f>P86/I198</f>
        <v>425415.39473684214</v>
      </c>
      <c r="J214" s="111">
        <f>[31]calculation!$G$22</f>
        <v>435000</v>
      </c>
      <c r="K214" s="107" t="str">
        <f>[31]calculation!$G$21</f>
        <v>04/31/2024</v>
      </c>
      <c r="L214" s="5">
        <f>G214/L86</f>
        <v>68.745967741935488</v>
      </c>
      <c r="M214" s="5"/>
      <c r="N214" s="96">
        <f>D214/G214</f>
        <v>2.3813713414276498</v>
      </c>
      <c r="O214" s="115">
        <f>D214/H214</f>
        <v>0.66195652173913044</v>
      </c>
      <c r="P214" s="113">
        <f>D214/J214</f>
        <v>0.7</v>
      </c>
      <c r="Q214" s="67">
        <f>[31]calculation!$G$46</f>
        <v>1.4157228243021347</v>
      </c>
      <c r="R214" s="5"/>
      <c r="S214" s="6">
        <f>[31]calculation!$H$34</f>
        <v>7.4999999999999997E-2</v>
      </c>
      <c r="T214" s="5">
        <f>[31]calculation!$G$34</f>
        <v>1903.125</v>
      </c>
      <c r="U214" s="5">
        <f>[31]calculation!$G$35</f>
        <v>0</v>
      </c>
      <c r="V214" s="5">
        <f>[31]calculation!$G$36</f>
        <v>1903.125</v>
      </c>
      <c r="W214" s="5"/>
      <c r="X214" s="57">
        <f>[31]calculation!$C$3</f>
        <v>42146</v>
      </c>
      <c r="Y214" s="57">
        <v>45664</v>
      </c>
      <c r="Z214" s="57">
        <v>47490</v>
      </c>
      <c r="AA214" s="57"/>
      <c r="AB214" s="57"/>
      <c r="AC214" s="57"/>
    </row>
    <row r="215" spans="1:29" s="2" customFormat="1" ht="14.25" customHeight="1" x14ac:dyDescent="0.25">
      <c r="A215" s="142">
        <v>11</v>
      </c>
      <c r="B215" s="151" t="s">
        <v>168</v>
      </c>
      <c r="C215" s="5">
        <f>[32]calculation!$G$26</f>
        <v>149000</v>
      </c>
      <c r="D215" s="5">
        <f>[32]calculation!$G$27</f>
        <v>210000</v>
      </c>
      <c r="E215" s="5">
        <f>[32]calculation!$G$72</f>
        <v>-47749.999999999993</v>
      </c>
      <c r="F215" s="53">
        <f>[32]calculation!$AA$48</f>
        <v>5000</v>
      </c>
      <c r="G215" s="5">
        <f>D215+E215+F215</f>
        <v>167250</v>
      </c>
      <c r="H215" s="32">
        <v>360000</v>
      </c>
      <c r="I215" s="5">
        <f>P87/I198</f>
        <v>234383.0263157895</v>
      </c>
      <c r="J215" s="111">
        <f>[32]calculation!$G$21</f>
        <v>300000</v>
      </c>
      <c r="K215" s="107">
        <f>[32]calculation!$G$20</f>
        <v>45409</v>
      </c>
      <c r="L215" s="5">
        <f>G215/L87</f>
        <v>151.49456521739131</v>
      </c>
      <c r="M215" s="5"/>
      <c r="N215" s="96">
        <f>D215/G215</f>
        <v>1.2556053811659194</v>
      </c>
      <c r="O215" s="115">
        <f>D215/H215</f>
        <v>0.58333333333333337</v>
      </c>
      <c r="P215" s="113">
        <f>D215/J215</f>
        <v>0.7</v>
      </c>
      <c r="Q215" s="67">
        <f>[32]calculation!$G$45</f>
        <v>1.1309911111111113</v>
      </c>
      <c r="R215" s="5"/>
      <c r="S215" s="6">
        <f>[32]calculation!$H$33</f>
        <v>7.4999999999999997E-2</v>
      </c>
      <c r="T215" s="5">
        <f>[32]calculation!$G$33</f>
        <v>1312.5</v>
      </c>
      <c r="U215" s="5">
        <f>[32]calculation!$G$34</f>
        <v>0</v>
      </c>
      <c r="V215" s="5">
        <f>[32]calculation!$G$35</f>
        <v>1312.5</v>
      </c>
      <c r="W215" s="5"/>
      <c r="X215" s="57">
        <f>[32]calculation!$C$3</f>
        <v>42865</v>
      </c>
      <c r="Y215" s="57">
        <v>45664</v>
      </c>
      <c r="Z215" s="57">
        <v>47490</v>
      </c>
      <c r="AA215" s="57"/>
      <c r="AB215" s="57"/>
      <c r="AC215" s="57"/>
    </row>
    <row r="216" spans="1:29" s="2" customFormat="1" ht="14.25" customHeight="1" x14ac:dyDescent="0.25">
      <c r="A216" s="142">
        <v>12</v>
      </c>
      <c r="B216" s="151" t="s">
        <v>169</v>
      </c>
      <c r="C216" s="5">
        <f>[33]calculation!$G$27</f>
        <v>30000</v>
      </c>
      <c r="D216" s="5">
        <f>[33]calculation!$G$28</f>
        <v>178500</v>
      </c>
      <c r="E216" s="5">
        <f>[33]calculation!$G$73</f>
        <v>-133522.5</v>
      </c>
      <c r="F216" s="53">
        <f>[33]calculation!$AA$49</f>
        <v>60000</v>
      </c>
      <c r="G216" s="5">
        <f>D216+E216+F216</f>
        <v>104977.5</v>
      </c>
      <c r="H216" s="32">
        <v>380000</v>
      </c>
      <c r="I216" s="5">
        <f>P88/I198</f>
        <v>318902.10526315792</v>
      </c>
      <c r="J216" s="111">
        <f>[33]calculation!$G$22</f>
        <v>255000</v>
      </c>
      <c r="K216" s="107">
        <f>[33]calculation!$G$21</f>
        <v>45409</v>
      </c>
      <c r="L216" s="5">
        <f>G216/L88</f>
        <v>63.239457831325304</v>
      </c>
      <c r="M216" s="5"/>
      <c r="N216" s="96">
        <f>D216/G216</f>
        <v>1.7003643637922412</v>
      </c>
      <c r="O216" s="115">
        <f>D216/H216</f>
        <v>0.46973684210526317</v>
      </c>
      <c r="P216" s="113">
        <f>D216/J216</f>
        <v>0.7</v>
      </c>
      <c r="Q216" s="67">
        <f>[33]calculation!$G$46</f>
        <v>1.8103873015873015</v>
      </c>
      <c r="R216" s="5"/>
      <c r="S216" s="6">
        <f>[33]calculation!$H$34</f>
        <v>7.4999999999999997E-2</v>
      </c>
      <c r="T216" s="5">
        <f>[33]calculation!$G$34</f>
        <v>1115.625</v>
      </c>
      <c r="U216" s="5">
        <f>[33]calculation!$G$35</f>
        <v>0</v>
      </c>
      <c r="V216" s="5">
        <f>[33]calculation!$G$36</f>
        <v>1115.625</v>
      </c>
      <c r="W216" s="5"/>
      <c r="X216" s="57">
        <f>[33]calculation!$C$3</f>
        <v>41722</v>
      </c>
      <c r="Y216" s="57">
        <v>45664</v>
      </c>
      <c r="Z216" s="57">
        <v>47490</v>
      </c>
      <c r="AA216" s="57"/>
      <c r="AB216" s="57"/>
      <c r="AC216" s="57"/>
    </row>
    <row r="217" spans="1:29" s="2" customFormat="1" ht="14.25" customHeight="1" x14ac:dyDescent="0.25">
      <c r="A217" s="142"/>
      <c r="B217" s="40"/>
      <c r="C217" s="41"/>
      <c r="D217" s="41"/>
      <c r="E217" s="41"/>
      <c r="F217" s="41"/>
      <c r="G217" s="41"/>
      <c r="H217" s="41"/>
      <c r="I217" s="41"/>
      <c r="J217" s="41"/>
      <c r="K217" s="108"/>
      <c r="L217" s="41"/>
      <c r="M217" s="41"/>
      <c r="N217" s="41"/>
      <c r="O217" s="46"/>
      <c r="P217" s="46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1"/>
      <c r="AB217" s="1"/>
    </row>
    <row r="218" spans="1:29" s="2" customFormat="1" ht="14.25" customHeight="1" x14ac:dyDescent="0.25">
      <c r="A218" s="142">
        <v>13</v>
      </c>
      <c r="B218" s="151" t="s">
        <v>170</v>
      </c>
      <c r="C218" s="5">
        <f>[34]calculation!$G$27</f>
        <v>35000</v>
      </c>
      <c r="D218" s="5">
        <f>[34]calculation!$G$28</f>
        <v>139444.19999999998</v>
      </c>
      <c r="E218" s="5">
        <f>[34]calculation!$G$73</f>
        <v>-90052.536999999982</v>
      </c>
      <c r="F218" s="53">
        <f>[34]calculation!$AA$49</f>
        <v>50000</v>
      </c>
      <c r="G218" s="5">
        <f t="shared" ref="G218:G226" si="32">D218+E218+F218</f>
        <v>99391.663</v>
      </c>
      <c r="H218" s="32">
        <v>380000</v>
      </c>
      <c r="I218" s="5">
        <f>P90/I198</f>
        <v>430849.4736842105</v>
      </c>
      <c r="J218" s="111">
        <f>[34]calculation!$G$22</f>
        <v>238000</v>
      </c>
      <c r="K218" s="107">
        <f>[34]calculation!$G$21</f>
        <v>44486</v>
      </c>
      <c r="L218" s="5">
        <f t="shared" ref="L218:L226" si="33">G218/L90</f>
        <v>76.691097993827157</v>
      </c>
      <c r="M218" s="5"/>
      <c r="N218" s="96">
        <f t="shared" ref="N218:N226" si="34">D218/G218</f>
        <v>1.4029768271409242</v>
      </c>
      <c r="O218" s="115">
        <f t="shared" ref="O218:O226" si="35">D218/H218</f>
        <v>0.36695842105263154</v>
      </c>
      <c r="P218" s="113">
        <f t="shared" ref="P218:P226" si="36">D218/J218</f>
        <v>0.58589999999999998</v>
      </c>
      <c r="Q218" s="67">
        <f>[34]calculation!$G$46</f>
        <v>4.1487843099061541</v>
      </c>
      <c r="R218" s="5"/>
      <c r="S218" s="6">
        <f>[34]calculation!$H$34</f>
        <v>3.9E-2</v>
      </c>
      <c r="T218" s="5">
        <f>[34]calculation!$G$34</f>
        <v>453.19364999999993</v>
      </c>
      <c r="U218" s="5">
        <f>[34]calculation!$G$35</f>
        <v>204.52030413782234</v>
      </c>
      <c r="V218" s="5">
        <f>[34]calculation!$G$36</f>
        <v>657.71395413782227</v>
      </c>
      <c r="W218" s="5"/>
      <c r="X218" s="57">
        <f>[34]calculation!$C$3</f>
        <v>42003</v>
      </c>
      <c r="Y218" s="57">
        <v>44538</v>
      </c>
      <c r="Z218" s="57">
        <v>46364</v>
      </c>
      <c r="AA218" s="57"/>
      <c r="AB218" s="57"/>
      <c r="AC218" s="57"/>
    </row>
    <row r="219" spans="1:29" s="2" customFormat="1" ht="14.25" customHeight="1" x14ac:dyDescent="0.25">
      <c r="A219" s="142">
        <v>14</v>
      </c>
      <c r="B219" s="151" t="s">
        <v>171</v>
      </c>
      <c r="C219" s="5">
        <f>[35]calculation!$G$27</f>
        <v>67000</v>
      </c>
      <c r="D219" s="5">
        <f>[35]calculation!$G$28</f>
        <v>137680.57999999999</v>
      </c>
      <c r="E219" s="5">
        <f>[35]calculation!$G$73</f>
        <v>-56315.371299999984</v>
      </c>
      <c r="F219" s="53">
        <f>[35]calculation!$AA$49</f>
        <v>60000</v>
      </c>
      <c r="G219" s="5">
        <f t="shared" si="32"/>
        <v>141365.20870000002</v>
      </c>
      <c r="H219" s="32">
        <v>420000</v>
      </c>
      <c r="I219" s="5">
        <f>P91/I198</f>
        <v>299502.63157894736</v>
      </c>
      <c r="J219" s="111">
        <f>[35]calculation!$G$22</f>
        <v>235000</v>
      </c>
      <c r="K219" s="107">
        <f>[35]calculation!$G$21</f>
        <v>44486</v>
      </c>
      <c r="L219" s="5">
        <f t="shared" si="33"/>
        <v>134.63353209523811</v>
      </c>
      <c r="M219" s="5"/>
      <c r="N219" s="96">
        <f t="shared" si="34"/>
        <v>0.97393539235089011</v>
      </c>
      <c r="O219" s="115">
        <f t="shared" si="35"/>
        <v>0.32781090476190472</v>
      </c>
      <c r="P219" s="113">
        <f t="shared" si="36"/>
        <v>0.58587480851063822</v>
      </c>
      <c r="Q219" s="67">
        <f>[35]calculation!$G$46</f>
        <v>2.9209471631238322</v>
      </c>
      <c r="R219" s="5"/>
      <c r="S219" s="6">
        <f>[35]calculation!$H$34</f>
        <v>3.9E-2</v>
      </c>
      <c r="T219" s="5">
        <f>[35]calculation!$G$34</f>
        <v>447.46188499999994</v>
      </c>
      <c r="U219" s="5">
        <f>[35]calculation!$G$35</f>
        <v>201.93363435318054</v>
      </c>
      <c r="V219" s="5">
        <f>[35]calculation!$G$36</f>
        <v>649.39551935318048</v>
      </c>
      <c r="W219" s="5"/>
      <c r="X219" s="57">
        <f>[35]calculation!$C$3</f>
        <v>42930</v>
      </c>
      <c r="Y219" s="57">
        <v>44538</v>
      </c>
      <c r="Z219" s="57">
        <v>46364</v>
      </c>
      <c r="AA219" s="57"/>
      <c r="AB219" s="57"/>
      <c r="AC219" s="57"/>
    </row>
    <row r="220" spans="1:29" s="2" customFormat="1" ht="14.25" customHeight="1" x14ac:dyDescent="0.25">
      <c r="A220" s="142">
        <v>15</v>
      </c>
      <c r="B220" s="151" t="s">
        <v>172</v>
      </c>
      <c r="C220" s="5">
        <f>[36]calculation!$G$27</f>
        <v>80000</v>
      </c>
      <c r="D220" s="5">
        <f>[36]calculation!$G$28</f>
        <v>141781.70000000001</v>
      </c>
      <c r="E220" s="5">
        <f>[36]calculation!$G$73</f>
        <v>-47354.974500000011</v>
      </c>
      <c r="F220" s="53">
        <f>[36]calculation!$AA$49</f>
        <v>60000</v>
      </c>
      <c r="G220" s="5">
        <f t="shared" si="32"/>
        <v>154426.7255</v>
      </c>
      <c r="H220" s="32">
        <v>420000</v>
      </c>
      <c r="I220" s="5">
        <f>P92/I198</f>
        <v>398894.21052631579</v>
      </c>
      <c r="J220" s="111">
        <f>[36]calculation!$G$22</f>
        <v>242000</v>
      </c>
      <c r="K220" s="107">
        <f>[36]calculation!$G$21</f>
        <v>44486</v>
      </c>
      <c r="L220" s="5">
        <f t="shared" si="33"/>
        <v>97.184849276274392</v>
      </c>
      <c r="M220" s="5"/>
      <c r="N220" s="96">
        <f t="shared" si="34"/>
        <v>0.91811633990775776</v>
      </c>
      <c r="O220" s="115">
        <f t="shared" si="35"/>
        <v>0.33757547619047623</v>
      </c>
      <c r="P220" s="113">
        <f t="shared" si="36"/>
        <v>0.58587479338842985</v>
      </c>
      <c r="Q220" s="67">
        <f>[36]calculation!$G$46</f>
        <v>3.7777507374985562</v>
      </c>
      <c r="R220" s="5"/>
      <c r="S220" s="6">
        <f>[36]calculation!$H$34</f>
        <v>3.9E-2</v>
      </c>
      <c r="T220" s="5">
        <f>[36]calculation!$G$34</f>
        <v>460.79052500000006</v>
      </c>
      <c r="U220" s="5">
        <f>[36]calculation!$G$35</f>
        <v>207.94867341329007</v>
      </c>
      <c r="V220" s="5">
        <f>[36]calculation!$G$36</f>
        <v>668.73919841329007</v>
      </c>
      <c r="W220" s="5"/>
      <c r="X220" s="57">
        <f>[36]calculation!$C$3</f>
        <v>42125</v>
      </c>
      <c r="Y220" s="57">
        <v>44538</v>
      </c>
      <c r="Z220" s="57">
        <v>46364</v>
      </c>
      <c r="AA220" s="57"/>
      <c r="AB220" s="57"/>
      <c r="AC220" s="57"/>
    </row>
    <row r="221" spans="1:29" s="2" customFormat="1" ht="14.25" customHeight="1" x14ac:dyDescent="0.25">
      <c r="A221" s="142">
        <v>16</v>
      </c>
      <c r="B221" s="151" t="s">
        <v>175</v>
      </c>
      <c r="C221" s="5">
        <f>[37]calculation!$G$27</f>
        <v>136000</v>
      </c>
      <c r="D221" s="5">
        <f>[37]calculation!$G$28</f>
        <v>199197.44</v>
      </c>
      <c r="E221" s="5">
        <f>[37]calculation!$G$73</f>
        <v>-47909.4784</v>
      </c>
      <c r="F221" s="53">
        <f>[37]calculation!$AA$49</f>
        <v>40000</v>
      </c>
      <c r="G221" s="5">
        <f t="shared" si="32"/>
        <v>191287.96160000001</v>
      </c>
      <c r="H221" s="32">
        <v>460000</v>
      </c>
      <c r="I221" s="5">
        <f>P93/I198</f>
        <v>431298.28947368421</v>
      </c>
      <c r="J221" s="111">
        <f>[37]calculation!$G$22</f>
        <v>340000</v>
      </c>
      <c r="K221" s="107">
        <f>[37]calculation!$G$21</f>
        <v>44486</v>
      </c>
      <c r="L221" s="5">
        <f t="shared" si="33"/>
        <v>53.135544888888894</v>
      </c>
      <c r="M221" s="5"/>
      <c r="N221" s="96">
        <f t="shared" si="34"/>
        <v>1.0413485424479529</v>
      </c>
      <c r="O221" s="115">
        <f t="shared" si="35"/>
        <v>0.43303791304347827</v>
      </c>
      <c r="P221" s="113">
        <f t="shared" si="36"/>
        <v>0.58587482352941178</v>
      </c>
      <c r="Q221" s="67">
        <f>[37]calculation!$G$46</f>
        <v>2.9072991966134878</v>
      </c>
      <c r="R221" s="5"/>
      <c r="S221" s="6">
        <f>[37]calculation!$H$34</f>
        <v>3.9E-2</v>
      </c>
      <c r="T221" s="5">
        <f>[37]calculation!$G$34</f>
        <v>647.39168000000006</v>
      </c>
      <c r="U221" s="5">
        <f>[37]calculation!$G$35</f>
        <v>292.15930825574401</v>
      </c>
      <c r="V221" s="5">
        <f>[37]calculation!$G$36</f>
        <v>939.55098825574407</v>
      </c>
      <c r="W221" s="5"/>
      <c r="X221" s="57">
        <f>[37]calculation!$C$3</f>
        <v>43127</v>
      </c>
      <c r="Y221" s="57">
        <v>44538</v>
      </c>
      <c r="Z221" s="57">
        <v>46364</v>
      </c>
      <c r="AA221" s="57"/>
      <c r="AB221" s="57"/>
      <c r="AC221" s="57"/>
    </row>
    <row r="222" spans="1:29" s="2" customFormat="1" ht="14.25" customHeight="1" x14ac:dyDescent="0.25">
      <c r="A222" s="142">
        <v>17</v>
      </c>
      <c r="B222" s="151" t="s">
        <v>173</v>
      </c>
      <c r="C222" s="5">
        <f>[38]calculation!$G$27</f>
        <v>33000</v>
      </c>
      <c r="D222" s="5">
        <f>[38]calculation!$G$28</f>
        <v>199197.44</v>
      </c>
      <c r="E222" s="5">
        <f>[38]calculation!$G$73</f>
        <v>-150909.47839999999</v>
      </c>
      <c r="F222" s="53">
        <f>[38]calculation!$AA$49</f>
        <v>60000</v>
      </c>
      <c r="G222" s="5">
        <f t="shared" si="32"/>
        <v>108287.96160000001</v>
      </c>
      <c r="H222" s="32">
        <v>460000</v>
      </c>
      <c r="I222" s="5">
        <f>P94/I198</f>
        <v>451761.57894736837</v>
      </c>
      <c r="J222" s="111">
        <f>[38]calculation!$G$22</f>
        <v>340000</v>
      </c>
      <c r="K222" s="107">
        <f>[38]calculation!$G$21</f>
        <v>44486</v>
      </c>
      <c r="L222" s="5">
        <f t="shared" si="33"/>
        <v>58.219334193548391</v>
      </c>
      <c r="M222" s="5"/>
      <c r="N222" s="96">
        <f t="shared" si="34"/>
        <v>1.8395160187409048</v>
      </c>
      <c r="O222" s="115">
        <f t="shared" si="35"/>
        <v>0.43303791304347827</v>
      </c>
      <c r="P222" s="113">
        <f t="shared" si="36"/>
        <v>0.58587482352941178</v>
      </c>
      <c r="Q222" s="67">
        <f>[38]calculation!$G$46</f>
        <v>3.0452383132269825</v>
      </c>
      <c r="R222" s="5"/>
      <c r="S222" s="6">
        <f>[38]calculation!$H$34</f>
        <v>3.9E-2</v>
      </c>
      <c r="T222" s="5">
        <f>[38]calculation!$G$34</f>
        <v>647.39168000000006</v>
      </c>
      <c r="U222" s="5">
        <f>[38]calculation!$G$35</f>
        <v>292.15930825574401</v>
      </c>
      <c r="V222" s="5">
        <f>[38]calculation!$G$36</f>
        <v>939.55098825574407</v>
      </c>
      <c r="W222" s="5"/>
      <c r="X222" s="57">
        <f>[38]calculation!$C$3</f>
        <v>42175</v>
      </c>
      <c r="Y222" s="57">
        <v>44538</v>
      </c>
      <c r="Z222" s="57">
        <v>46364</v>
      </c>
      <c r="AA222" s="57"/>
      <c r="AB222" s="57"/>
      <c r="AC222" s="57"/>
    </row>
    <row r="223" spans="1:29" s="2" customFormat="1" ht="14.25" customHeight="1" x14ac:dyDescent="0.25">
      <c r="A223" s="142">
        <v>18</v>
      </c>
      <c r="B223" s="151" t="s">
        <v>174</v>
      </c>
      <c r="C223" s="5">
        <f>[39]calculation!$G$27</f>
        <v>75000</v>
      </c>
      <c r="D223" s="5">
        <f>[39]calculation!$G$28</f>
        <v>199197.44</v>
      </c>
      <c r="E223" s="5">
        <f>[40]calculation!$G$29</f>
        <v>-114197.44</v>
      </c>
      <c r="F223" s="53">
        <f>[39]calculation!$AA$49</f>
        <v>60000</v>
      </c>
      <c r="G223" s="5">
        <f t="shared" si="32"/>
        <v>145000</v>
      </c>
      <c r="H223" s="32">
        <v>460000</v>
      </c>
      <c r="I223" s="5">
        <f>P95/I198</f>
        <v>424724.07894736843</v>
      </c>
      <c r="J223" s="111">
        <f>[39]calculation!$G$22</f>
        <v>340000</v>
      </c>
      <c r="K223" s="107">
        <f>[39]calculation!$G$21</f>
        <v>44486</v>
      </c>
      <c r="L223" s="5">
        <f t="shared" si="33"/>
        <v>77.956989247311824</v>
      </c>
      <c r="M223" s="5"/>
      <c r="N223" s="96">
        <f t="shared" si="34"/>
        <v>1.3737754482758622</v>
      </c>
      <c r="O223" s="115">
        <f t="shared" si="35"/>
        <v>0.43303791304347827</v>
      </c>
      <c r="P223" s="113">
        <f t="shared" si="36"/>
        <v>0.58587482352941178</v>
      </c>
      <c r="Q223" s="67">
        <f>[39]calculation!$G$46</f>
        <v>2.8629837020984277</v>
      </c>
      <c r="R223" s="5"/>
      <c r="S223" s="6">
        <f>[39]calculation!$H$34</f>
        <v>3.9E-2</v>
      </c>
      <c r="T223" s="5">
        <f>[39]calculation!$G$34</f>
        <v>647.39168000000006</v>
      </c>
      <c r="U223" s="5">
        <f>[39]calculation!$G$35</f>
        <v>292.15930825574401</v>
      </c>
      <c r="V223" s="5">
        <f>[39]calculation!$G$36</f>
        <v>939.55098825574407</v>
      </c>
      <c r="W223" s="5"/>
      <c r="X223" s="57">
        <f>[39]calculation!$C$3</f>
        <v>43172</v>
      </c>
      <c r="Y223" s="57">
        <v>44538</v>
      </c>
      <c r="Z223" s="57">
        <v>46364</v>
      </c>
      <c r="AA223" s="57"/>
      <c r="AB223" s="57"/>
      <c r="AC223" s="57"/>
    </row>
    <row r="224" spans="1:29" s="2" customFormat="1" ht="14.25" customHeight="1" x14ac:dyDescent="0.25">
      <c r="A224" s="142">
        <v>19</v>
      </c>
      <c r="B224" s="151" t="s">
        <v>176</v>
      </c>
      <c r="C224" s="5">
        <f>[40]calculation!$G$27</f>
        <v>85000</v>
      </c>
      <c r="D224" s="5">
        <f>[40]calculation!$G$28</f>
        <v>199197.44</v>
      </c>
      <c r="E224" s="5">
        <f>[40]calculation!$G$73</f>
        <v>-98909.478400000007</v>
      </c>
      <c r="F224" s="53">
        <f>[40]calculation!$AA$49</f>
        <v>80000</v>
      </c>
      <c r="G224" s="5">
        <f t="shared" si="32"/>
        <v>180287.96159999998</v>
      </c>
      <c r="H224" s="32">
        <v>460000</v>
      </c>
      <c r="I224" s="5">
        <f>P96/I198</f>
        <v>420058.81578947371</v>
      </c>
      <c r="J224" s="111">
        <f>[40]calculation!$G$22</f>
        <v>340000</v>
      </c>
      <c r="K224" s="107">
        <f>[40]calculation!$G$21</f>
        <v>44486</v>
      </c>
      <c r="L224" s="5">
        <f t="shared" si="33"/>
        <v>96.92901161290321</v>
      </c>
      <c r="M224" s="5"/>
      <c r="N224" s="96">
        <f t="shared" si="34"/>
        <v>1.1048848643702234</v>
      </c>
      <c r="O224" s="115">
        <f t="shared" si="35"/>
        <v>0.43303791304347827</v>
      </c>
      <c r="P224" s="113">
        <f t="shared" si="36"/>
        <v>0.58587482352941178</v>
      </c>
      <c r="Q224" s="67">
        <f>[40]calculation!$G$46</f>
        <v>2.8315360563229501</v>
      </c>
      <c r="R224" s="5"/>
      <c r="S224" s="6">
        <f>[40]calculation!$H$34</f>
        <v>3.9E-2</v>
      </c>
      <c r="T224" s="5">
        <f>[40]calculation!$G$34</f>
        <v>647.39168000000006</v>
      </c>
      <c r="U224" s="5">
        <f>[40]calculation!$G$35</f>
        <v>292.15930825574401</v>
      </c>
      <c r="V224" s="5">
        <f>[40]calculation!$G$36</f>
        <v>939.55098825574407</v>
      </c>
      <c r="W224" s="5"/>
      <c r="X224" s="57">
        <f>[40]calculation!$C$3</f>
        <v>43356</v>
      </c>
      <c r="Y224" s="57">
        <v>44538</v>
      </c>
      <c r="Z224" s="57">
        <v>46364</v>
      </c>
      <c r="AA224" s="57"/>
      <c r="AB224" s="57"/>
      <c r="AC224" s="57"/>
    </row>
    <row r="225" spans="1:29" s="2" customFormat="1" ht="14.25" customHeight="1" x14ac:dyDescent="0.25">
      <c r="A225" s="142">
        <v>20</v>
      </c>
      <c r="B225" s="151" t="s">
        <v>177</v>
      </c>
      <c r="C225" s="5">
        <f>[41]calculation!$G$29</f>
        <v>232500</v>
      </c>
      <c r="D225" s="5">
        <f>[41]calculation!$G$30</f>
        <v>304654.88</v>
      </c>
      <c r="E225" s="5">
        <f>[41]calculation!$G$75</f>
        <v>-55285.056800000035</v>
      </c>
      <c r="F225" s="53">
        <f>[41]calculation!$AA$51</f>
        <v>40000</v>
      </c>
      <c r="G225" s="5">
        <f t="shared" si="32"/>
        <v>289369.82319999998</v>
      </c>
      <c r="H225" s="32">
        <v>650000</v>
      </c>
      <c r="I225" s="5">
        <f>P97/I198</f>
        <v>733884.47368421056</v>
      </c>
      <c r="J225" s="111">
        <f>[41]calculation!$G$24</f>
        <v>520000</v>
      </c>
      <c r="K225" s="107">
        <f>[41]calculation!$G$23</f>
        <v>44486</v>
      </c>
      <c r="L225" s="5">
        <f t="shared" si="33"/>
        <v>95.691079100529095</v>
      </c>
      <c r="M225" s="5"/>
      <c r="N225" s="96">
        <f t="shared" si="34"/>
        <v>1.0528218755880279</v>
      </c>
      <c r="O225" s="115">
        <f t="shared" si="35"/>
        <v>0.46869981538461541</v>
      </c>
      <c r="P225" s="113">
        <f t="shared" si="36"/>
        <v>0.5858747692307692</v>
      </c>
      <c r="Q225" s="67">
        <f>[41]calculation!$G$48</f>
        <v>3.2345607026344965</v>
      </c>
      <c r="R225" s="5"/>
      <c r="S225" s="6">
        <f>[41]calculation!$H$36</f>
        <v>3.9E-2</v>
      </c>
      <c r="T225" s="5">
        <f>[41]calculation!$G$36</f>
        <v>990.12836000000004</v>
      </c>
      <c r="U225" s="5">
        <f>[41]calculation!$G$37</f>
        <v>446.83184180246849</v>
      </c>
      <c r="V225" s="5">
        <f>[41]calculation!$G$38</f>
        <v>1436.9602018024684</v>
      </c>
      <c r="W225" s="5"/>
      <c r="X225" s="57">
        <f>[41]calculation!$C$3</f>
        <v>43243</v>
      </c>
      <c r="Y225" s="57">
        <v>44538</v>
      </c>
      <c r="Z225" s="57">
        <v>46364</v>
      </c>
      <c r="AA225" s="57"/>
      <c r="AB225" s="57"/>
      <c r="AC225" s="57"/>
    </row>
    <row r="226" spans="1:29" s="2" customFormat="1" ht="14.25" customHeight="1" x14ac:dyDescent="0.25">
      <c r="A226" s="142">
        <v>21</v>
      </c>
      <c r="B226" s="151" t="s">
        <v>178</v>
      </c>
      <c r="C226" s="5">
        <f>[42]calculation!$G$29</f>
        <v>51000</v>
      </c>
      <c r="D226" s="5">
        <f>[42]calculation!$G$30</f>
        <v>304654.88</v>
      </c>
      <c r="E226" s="5">
        <f>[42]calculation!$G$75</f>
        <v>-236785.05680000002</v>
      </c>
      <c r="F226" s="53">
        <f>[42]calculation!$AA$51</f>
        <v>80000</v>
      </c>
      <c r="G226" s="5">
        <f t="shared" si="32"/>
        <v>147869.82319999998</v>
      </c>
      <c r="H226" s="32">
        <v>650000</v>
      </c>
      <c r="I226" s="5">
        <f>P98/I198</f>
        <v>733884.34210526315</v>
      </c>
      <c r="J226" s="111">
        <f>[42]calculation!$G$24</f>
        <v>520000</v>
      </c>
      <c r="K226" s="107">
        <f>[42]calculation!$G$23</f>
        <v>44486</v>
      </c>
      <c r="L226" s="5">
        <f t="shared" si="33"/>
        <v>48.89875105820105</v>
      </c>
      <c r="M226" s="5"/>
      <c r="N226" s="96">
        <f t="shared" si="34"/>
        <v>2.0602910952827869</v>
      </c>
      <c r="O226" s="115">
        <f t="shared" si="35"/>
        <v>0.46869981538461541</v>
      </c>
      <c r="P226" s="113">
        <f t="shared" si="36"/>
        <v>0.5858747692307692</v>
      </c>
      <c r="Q226" s="67">
        <f>[42]calculation!$G$48</f>
        <v>3.2345601227065819</v>
      </c>
      <c r="R226" s="5"/>
      <c r="S226" s="6">
        <f>[42]calculation!$H$36</f>
        <v>3.9E-2</v>
      </c>
      <c r="T226" s="5">
        <f>[42]calculation!$G$36</f>
        <v>990.12836000000004</v>
      </c>
      <c r="U226" s="5">
        <f>[42]calculation!$G$37</f>
        <v>446.83184180246849</v>
      </c>
      <c r="V226" s="5">
        <f>[42]calculation!$G$38</f>
        <v>1436.9602018024684</v>
      </c>
      <c r="W226" s="5"/>
      <c r="X226" s="57">
        <f>[42]calculation!$G$23</f>
        <v>44486</v>
      </c>
      <c r="Y226" s="57">
        <v>44538</v>
      </c>
      <c r="Z226" s="57">
        <v>46364</v>
      </c>
      <c r="AA226" s="57"/>
      <c r="AB226" s="57"/>
      <c r="AC226" s="57"/>
    </row>
    <row r="227" spans="1:29" s="2" customFormat="1" ht="14.25" customHeight="1" x14ac:dyDescent="0.25">
      <c r="A227" s="142"/>
      <c r="B227" s="40"/>
      <c r="C227" s="41"/>
      <c r="D227" s="41"/>
      <c r="E227" s="41"/>
      <c r="F227" s="41"/>
      <c r="G227" s="41"/>
      <c r="H227" s="41"/>
      <c r="I227" s="41"/>
      <c r="J227" s="41"/>
      <c r="K227" s="108"/>
      <c r="L227" s="41"/>
      <c r="M227" s="41"/>
      <c r="N227" s="41"/>
      <c r="O227" s="46"/>
      <c r="P227" s="46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1"/>
      <c r="AB227" s="1"/>
    </row>
    <row r="228" spans="1:29" s="2" customFormat="1" ht="14.25" customHeight="1" thickBot="1" x14ac:dyDescent="0.3">
      <c r="A228" s="142">
        <v>22</v>
      </c>
      <c r="B228" s="170" t="s">
        <v>183</v>
      </c>
      <c r="C228" s="28">
        <f>[43]calculation!$G$27</f>
        <v>126894</v>
      </c>
      <c r="D228" s="28">
        <f>[43]calculation!$G$28</f>
        <v>135375</v>
      </c>
      <c r="E228" s="28">
        <f>[43]calculation!$G$73</f>
        <v>5849.6250000000055</v>
      </c>
      <c r="F228" s="183">
        <f>[43]calculation!$AA$49</f>
        <v>17000</v>
      </c>
      <c r="G228" s="28">
        <f>D228+E228+F228</f>
        <v>158224.625</v>
      </c>
      <c r="H228" s="86">
        <v>360000</v>
      </c>
      <c r="I228" s="28">
        <f>P100/I198</f>
        <v>369808.28947368421</v>
      </c>
      <c r="J228" s="112">
        <f>[43]calculation!$G$22</f>
        <v>180500</v>
      </c>
      <c r="K228" s="110">
        <f>[43]calculation!$G$21</f>
        <v>43630</v>
      </c>
      <c r="L228" s="28">
        <f>G228/L100</f>
        <v>121.71125000000001</v>
      </c>
      <c r="M228" s="28"/>
      <c r="N228" s="98">
        <f>D228/G228</f>
        <v>0.85558742831591483</v>
      </c>
      <c r="O228" s="116">
        <f>D228/H228</f>
        <v>0.37604166666666666</v>
      </c>
      <c r="P228" s="114">
        <f>D228/J228</f>
        <v>0.75</v>
      </c>
      <c r="Q228" s="99">
        <f>[43]calculation!$G$46</f>
        <v>2.6674411624851859</v>
      </c>
      <c r="R228" s="28"/>
      <c r="S228" s="91">
        <f>[43]calculation!$H$34</f>
        <v>6.7500000000000004E-2</v>
      </c>
      <c r="T228" s="28">
        <f>[43]calculation!$G$34</f>
        <v>761.484375</v>
      </c>
      <c r="U228" s="28">
        <f>[43]calculation!$G$35</f>
        <v>116.55529822922131</v>
      </c>
      <c r="V228" s="28">
        <f>[43]calculation!$G$36</f>
        <v>878.03967322922131</v>
      </c>
      <c r="W228" s="28"/>
      <c r="X228" s="94">
        <f>[43]calculation!$C$3</f>
        <v>43538</v>
      </c>
      <c r="Y228" s="94">
        <v>44788</v>
      </c>
      <c r="Z228" s="94">
        <v>46609</v>
      </c>
      <c r="AA228" s="94"/>
      <c r="AB228" s="94"/>
      <c r="AC228" s="94"/>
    </row>
    <row r="229" spans="1:29" ht="14.25" customHeight="1" thickTop="1" x14ac:dyDescent="0.25">
      <c r="B229" s="14" t="s">
        <v>8</v>
      </c>
      <c r="C229" s="34">
        <f t="shared" ref="C229:J229" si="37">SUM(C200:C228)</f>
        <v>2894894</v>
      </c>
      <c r="D229" s="34">
        <f t="shared" si="37"/>
        <v>5036011</v>
      </c>
      <c r="E229" s="34">
        <f t="shared" si="37"/>
        <v>-1808424.7966</v>
      </c>
      <c r="F229" s="34">
        <f t="shared" si="37"/>
        <v>892000</v>
      </c>
      <c r="G229" s="34">
        <f t="shared" si="37"/>
        <v>4119586.2034000005</v>
      </c>
      <c r="H229" s="34">
        <f t="shared" si="37"/>
        <v>10450000</v>
      </c>
      <c r="I229" s="34">
        <f t="shared" si="37"/>
        <v>7378862.8947368404</v>
      </c>
      <c r="J229" s="34">
        <f t="shared" si="37"/>
        <v>7225500</v>
      </c>
      <c r="K229" s="34"/>
      <c r="L229" s="34">
        <f>AVERAGE(L200:L228)</f>
        <v>122.14349622371579</v>
      </c>
      <c r="M229" s="34"/>
      <c r="N229" s="97">
        <f>AVERAGE(N200:N228)</f>
        <v>1.4622721325796286</v>
      </c>
      <c r="O229" s="97">
        <f>AVERAGE(O200:O228)</f>
        <v>0.49280336930657354</v>
      </c>
      <c r="P229" s="97">
        <f>AVERAGE(P200:P228)</f>
        <v>0.69467720156719337</v>
      </c>
      <c r="Q229" s="68">
        <f>AVERAGE(Q200:Q228)</f>
        <v>2.0712941689477717</v>
      </c>
      <c r="R229" s="34"/>
      <c r="S229" s="16">
        <f>AVERAGE(S200:S228)</f>
        <v>5.3881818181818163E-2</v>
      </c>
      <c r="T229" s="34">
        <f>SUM(T200:T228)</f>
        <v>22654.750541666668</v>
      </c>
      <c r="U229" s="34">
        <f>SUM(U200:U228)</f>
        <v>4806.6177042527643</v>
      </c>
      <c r="V229" s="34">
        <f>SUM(V200:V228)</f>
        <v>27461.368245919439</v>
      </c>
      <c r="W229" s="34"/>
      <c r="X229" s="34"/>
      <c r="Y229" s="34"/>
      <c r="Z229" s="34"/>
      <c r="AA229" s="34"/>
      <c r="AB229" s="34"/>
      <c r="AC229" s="34"/>
    </row>
    <row r="230" spans="1:29" ht="14.25" customHeight="1" x14ac:dyDescent="0.25">
      <c r="L230" s="8" t="s">
        <v>9</v>
      </c>
      <c r="N230" s="8" t="s">
        <v>9</v>
      </c>
      <c r="O230" s="8" t="s">
        <v>9</v>
      </c>
      <c r="P230" s="8" t="s">
        <v>9</v>
      </c>
      <c r="Q230" s="8" t="s">
        <v>9</v>
      </c>
      <c r="S230" s="8" t="s">
        <v>9</v>
      </c>
    </row>
    <row r="231" spans="1:29" ht="14.25" customHeight="1" x14ac:dyDescent="0.25">
      <c r="L231" s="8"/>
      <c r="N231" s="8"/>
      <c r="O231" s="8"/>
      <c r="P231" s="8"/>
      <c r="Q231" s="8"/>
      <c r="S231" s="8"/>
    </row>
    <row r="232" spans="1:29" ht="14.25" customHeight="1" x14ac:dyDescent="0.25">
      <c r="L232" s="8"/>
      <c r="N232" s="8"/>
      <c r="O232" s="8"/>
      <c r="P232" s="8"/>
      <c r="Q232" s="8"/>
      <c r="S232" s="8"/>
    </row>
    <row r="233" spans="1:29" ht="41.4" x14ac:dyDescent="0.25">
      <c r="C233" s="9" t="s">
        <v>116</v>
      </c>
      <c r="D233" s="9" t="s">
        <v>4</v>
      </c>
      <c r="E233" s="9" t="s">
        <v>107</v>
      </c>
      <c r="F233" s="9" t="s">
        <v>131</v>
      </c>
      <c r="G233" s="9" t="s">
        <v>120</v>
      </c>
      <c r="H233" s="9" t="s">
        <v>117</v>
      </c>
      <c r="I233" s="9" t="s">
        <v>118</v>
      </c>
      <c r="J233" s="117" t="s">
        <v>136</v>
      </c>
      <c r="K233" s="9" t="s">
        <v>137</v>
      </c>
      <c r="L233" s="9" t="s">
        <v>119</v>
      </c>
      <c r="N233" s="9" t="s">
        <v>121</v>
      </c>
      <c r="O233" s="9" t="s">
        <v>138</v>
      </c>
      <c r="P233" s="9" t="s">
        <v>139</v>
      </c>
      <c r="Q233" s="9" t="s">
        <v>110</v>
      </c>
      <c r="S233" s="9" t="s">
        <v>5</v>
      </c>
      <c r="T233" s="9" t="s">
        <v>125</v>
      </c>
      <c r="U233" s="9" t="s">
        <v>126</v>
      </c>
      <c r="V233" s="9" t="s">
        <v>127</v>
      </c>
      <c r="W233" s="9"/>
      <c r="X233" s="9" t="s">
        <v>74</v>
      </c>
      <c r="Y233" s="9" t="s">
        <v>130</v>
      </c>
      <c r="Z233" s="9" t="s">
        <v>128</v>
      </c>
      <c r="AA233" s="9" t="s">
        <v>122</v>
      </c>
      <c r="AB233" s="9" t="s">
        <v>123</v>
      </c>
      <c r="AC233" s="9" t="s">
        <v>124</v>
      </c>
    </row>
    <row r="234" spans="1:29" s="11" customFormat="1" ht="35.4" customHeight="1" x14ac:dyDescent="0.25">
      <c r="B234" s="160" t="s">
        <v>180</v>
      </c>
      <c r="C234" s="161">
        <f t="shared" ref="C234:J234" si="38">SUM(C229,C195,C186,C162)</f>
        <v>66068757</v>
      </c>
      <c r="D234" s="161">
        <f t="shared" si="38"/>
        <v>57608330.730000004</v>
      </c>
      <c r="E234" s="161">
        <f t="shared" si="38"/>
        <v>9203305.227500001</v>
      </c>
      <c r="F234" s="161">
        <f t="shared" si="38"/>
        <v>5389533.5999999996</v>
      </c>
      <c r="G234" s="161">
        <f t="shared" si="38"/>
        <v>72073254.847499996</v>
      </c>
      <c r="H234" s="161">
        <f t="shared" si="38"/>
        <v>136700000</v>
      </c>
      <c r="I234" s="161">
        <f t="shared" si="38"/>
        <v>80020988.492079034</v>
      </c>
      <c r="J234" s="161">
        <f t="shared" si="38"/>
        <v>84885500</v>
      </c>
      <c r="K234" s="161"/>
      <c r="L234" s="161">
        <f>SUM(L229,L195,L186,L162)</f>
        <v>248.68413770044836</v>
      </c>
      <c r="M234" s="161"/>
      <c r="N234" s="162">
        <f>AVERAGE(N229,N195,N186,N162)</f>
        <v>1.0156107738758191</v>
      </c>
      <c r="O234" s="162">
        <f>AVERAGE(O229,O195,O186,O162)</f>
        <v>0.42424136436454857</v>
      </c>
      <c r="P234" s="162">
        <f>AVERAGE(P229,P195,P186,P162)</f>
        <v>0.67832043284424126</v>
      </c>
      <c r="Q234" s="163">
        <f>AVERAGE(Q229,Q195,Q186,Q162)</f>
        <v>1.4998348587103667</v>
      </c>
      <c r="R234" s="161"/>
      <c r="S234" s="191">
        <f>AVERAGE(S229,S195,S186,S162)</f>
        <v>5.2535454545454545E-2</v>
      </c>
      <c r="T234" s="161">
        <f>SUM(T229,T195,T186,T162)</f>
        <v>262795.80235666665</v>
      </c>
      <c r="U234" s="161">
        <f>SUM(U229,U195,U186,U162)</f>
        <v>85172.198815689306</v>
      </c>
      <c r="V234" s="161">
        <f>SUM(V229,V195,V186,V162)</f>
        <v>347968.00117235596</v>
      </c>
      <c r="W234" s="161"/>
      <c r="X234" s="161"/>
      <c r="Y234" s="161"/>
      <c r="Z234" s="161"/>
      <c r="AA234" s="161"/>
      <c r="AB234" s="161"/>
      <c r="AC234" s="161"/>
    </row>
    <row r="235" spans="1:29" ht="14.25" customHeight="1" x14ac:dyDescent="0.25">
      <c r="L235" s="8" t="s">
        <v>9</v>
      </c>
      <c r="N235" s="8" t="s">
        <v>9</v>
      </c>
      <c r="O235" s="8" t="s">
        <v>9</v>
      </c>
      <c r="P235" s="8" t="s">
        <v>9</v>
      </c>
      <c r="Q235" s="8" t="s">
        <v>9</v>
      </c>
      <c r="S235" s="8" t="s">
        <v>9</v>
      </c>
    </row>
    <row r="236" spans="1:29" ht="14.25" customHeight="1" x14ac:dyDescent="0.25"/>
    <row r="237" spans="1:29" ht="14.25" customHeight="1" x14ac:dyDescent="0.25"/>
    <row r="238" spans="1:29" ht="14.25" customHeight="1" x14ac:dyDescent="0.25"/>
    <row r="239" spans="1:29" ht="14.25" customHeight="1" x14ac:dyDescent="0.25"/>
    <row r="240" spans="1:29" ht="21" x14ac:dyDescent="0.4">
      <c r="B240" s="102" t="s">
        <v>129</v>
      </c>
    </row>
    <row r="241" spans="1:38" ht="49.8" customHeight="1" x14ac:dyDescent="0.25">
      <c r="A241" s="9"/>
      <c r="B241" s="10" t="s">
        <v>147</v>
      </c>
      <c r="C241" s="9" t="s">
        <v>42</v>
      </c>
      <c r="D241" s="9" t="s">
        <v>43</v>
      </c>
      <c r="E241" s="9" t="s">
        <v>44</v>
      </c>
      <c r="F241" s="9" t="s">
        <v>65</v>
      </c>
      <c r="H241" s="9" t="s">
        <v>45</v>
      </c>
      <c r="I241" s="9" t="s">
        <v>46</v>
      </c>
      <c r="J241" s="9" t="s">
        <v>47</v>
      </c>
      <c r="K241" s="9" t="s">
        <v>48</v>
      </c>
      <c r="L241" s="9" t="s">
        <v>49</v>
      </c>
      <c r="N241" s="9" t="s">
        <v>50</v>
      </c>
      <c r="O241" s="9" t="s">
        <v>51</v>
      </c>
      <c r="P241" s="9" t="s">
        <v>52</v>
      </c>
      <c r="Q241" s="9"/>
      <c r="R241" s="9" t="s">
        <v>53</v>
      </c>
      <c r="S241" s="9" t="s">
        <v>54</v>
      </c>
      <c r="T241" s="9" t="s">
        <v>64</v>
      </c>
      <c r="V241" s="9" t="s">
        <v>55</v>
      </c>
      <c r="W241" s="9" t="s">
        <v>56</v>
      </c>
      <c r="X241" s="9" t="s">
        <v>57</v>
      </c>
      <c r="Y241" s="9" t="s">
        <v>63</v>
      </c>
      <c r="AA241" s="9" t="s">
        <v>58</v>
      </c>
      <c r="AB241" s="9" t="s">
        <v>59</v>
      </c>
      <c r="AC241" s="9" t="s">
        <v>60</v>
      </c>
      <c r="AD241" s="9" t="s">
        <v>68</v>
      </c>
      <c r="AE241" s="9" t="s">
        <v>61</v>
      </c>
      <c r="AF241" s="9" t="s">
        <v>62</v>
      </c>
      <c r="AG241" s="9"/>
      <c r="AH241" s="9" t="s">
        <v>66</v>
      </c>
      <c r="AI241" s="9" t="s">
        <v>67</v>
      </c>
    </row>
    <row r="242" spans="1:38" ht="14.25" customHeight="1" x14ac:dyDescent="0.25">
      <c r="A242" s="142">
        <v>1</v>
      </c>
      <c r="B242" s="19" t="s">
        <v>19</v>
      </c>
      <c r="C242" s="31">
        <v>45641</v>
      </c>
      <c r="D242" s="2" t="str">
        <f>[1]calculation!$P$46</f>
        <v>1M each / 2M total</v>
      </c>
      <c r="E242" s="5">
        <f>[1]calculation!$P$47</f>
        <v>0</v>
      </c>
      <c r="F242" s="32">
        <f>[1]calculation!$P$48</f>
        <v>3150</v>
      </c>
      <c r="G242" s="2"/>
      <c r="H242" s="5">
        <f>[1]calculation!$P$49</f>
        <v>11303520</v>
      </c>
      <c r="I242" s="2" t="str">
        <f>[1]calculation!$P$50</f>
        <v>replacement cost</v>
      </c>
      <c r="J242" s="5">
        <f>[1]calculation!$P$51</f>
        <v>90.443354483553236</v>
      </c>
      <c r="K242" s="5">
        <f>[1]calculation!$P$52</f>
        <v>7500</v>
      </c>
      <c r="L242" s="35">
        <f>[1]calculation!$P$53</f>
        <v>0.8</v>
      </c>
      <c r="M242" s="2"/>
      <c r="N242" s="173" t="s">
        <v>142</v>
      </c>
      <c r="O242" s="5">
        <f>[1]calculation!$P$56</f>
        <v>565176</v>
      </c>
      <c r="P242" s="35">
        <f>[1]calculation!$P$57</f>
        <v>0.05</v>
      </c>
      <c r="Q242" s="2"/>
      <c r="R242" s="171" t="s">
        <v>142</v>
      </c>
      <c r="S242" s="5">
        <f>[1]calculation!$P$61</f>
        <v>600000</v>
      </c>
      <c r="T242" s="32">
        <f>[1]calculation!$P$58</f>
        <v>23400</v>
      </c>
      <c r="U242" s="2"/>
      <c r="V242" s="171" t="s">
        <v>142</v>
      </c>
      <c r="W242" s="5">
        <f>[1]calculation!$P$65</f>
        <v>1100000</v>
      </c>
      <c r="X242" s="5">
        <f>[1]calculation!$P$64</f>
        <v>12250</v>
      </c>
      <c r="Y242" s="32">
        <f>[1]calculation!$P$66</f>
        <v>18268</v>
      </c>
      <c r="Z242" s="2"/>
      <c r="AA242" s="32">
        <f>[1]calculation!$P$68</f>
        <v>1156.5999999999999</v>
      </c>
      <c r="AB242" s="38">
        <f>[1]calculation!$P$69</f>
        <v>175</v>
      </c>
      <c r="AC242" s="6">
        <f>[1]calculation!$P$70</f>
        <v>0.1105</v>
      </c>
      <c r="AD242" s="38">
        <f>AB242+AA242+Y242+T242+F242</f>
        <v>46149.599999999999</v>
      </c>
      <c r="AE242" s="15" t="s">
        <v>149</v>
      </c>
      <c r="AF242" s="15" t="s">
        <v>149</v>
      </c>
      <c r="AG242" s="2"/>
      <c r="AH242" s="2" t="str">
        <f>[1]calculation!$P$43</f>
        <v>Dan &amp; Jose</v>
      </c>
      <c r="AI242" s="39" t="s">
        <v>69</v>
      </c>
    </row>
    <row r="243" spans="1:38" ht="14.25" customHeight="1" x14ac:dyDescent="0.25">
      <c r="A243" s="142"/>
      <c r="B243" s="40"/>
      <c r="C243" s="41"/>
      <c r="D243" s="41"/>
      <c r="E243" s="41"/>
      <c r="F243" s="41"/>
      <c r="G243" s="41"/>
      <c r="H243" s="41"/>
      <c r="I243" s="41"/>
      <c r="J243" s="46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4"/>
      <c r="AJ243" s="41"/>
      <c r="AK243" s="41"/>
      <c r="AL243" s="41"/>
    </row>
    <row r="244" spans="1:38" ht="14.25" customHeight="1" x14ac:dyDescent="0.25">
      <c r="A244" s="142">
        <v>2</v>
      </c>
      <c r="B244" s="19" t="s">
        <v>20</v>
      </c>
      <c r="C244" s="31">
        <f>[2]calculation!$P$41</f>
        <v>45580</v>
      </c>
      <c r="D244" s="2" t="str">
        <f>[2]calculation!$P$45</f>
        <v>1M each / 2M total</v>
      </c>
      <c r="E244" s="5">
        <f>[2]calculation!$P$46</f>
        <v>0</v>
      </c>
      <c r="F244" s="38">
        <f>[2]calculation!$P$47</f>
        <v>4071.9</v>
      </c>
      <c r="G244" s="2"/>
      <c r="H244" s="5">
        <f>[2]calculation!$P$48</f>
        <v>1500000</v>
      </c>
      <c r="I244" s="2" t="str">
        <f>[2]calculation!$P$49</f>
        <v>Loan amount</v>
      </c>
      <c r="J244" s="5">
        <f>[2]calculation!$P$50</f>
        <v>8.3574771562291055</v>
      </c>
      <c r="K244" s="5">
        <f>[2]calculation!$P$51</f>
        <v>0</v>
      </c>
      <c r="L244" s="35">
        <f>[2]calculation!$P$52</f>
        <v>0</v>
      </c>
      <c r="M244" s="2"/>
      <c r="N244" s="36" t="s">
        <v>142</v>
      </c>
      <c r="O244" s="5">
        <f>[2]calculation!$P$55</f>
        <v>0</v>
      </c>
      <c r="P244" s="35">
        <f>[2]calculation!$P$56</f>
        <v>0</v>
      </c>
      <c r="Q244" s="2"/>
      <c r="R244" s="42" t="s">
        <v>145</v>
      </c>
      <c r="S244" s="5">
        <f>[2]calculation!$P$60</f>
        <v>0</v>
      </c>
      <c r="T244" s="32">
        <f>[2]calculation!$P$57</f>
        <v>23825.97</v>
      </c>
      <c r="U244" s="2"/>
      <c r="V244" s="42" t="s">
        <v>145</v>
      </c>
      <c r="W244" s="5"/>
      <c r="X244" s="5"/>
      <c r="Y244" s="32"/>
      <c r="Z244" s="2"/>
      <c r="AA244" s="32"/>
      <c r="AB244" s="38">
        <v>0</v>
      </c>
      <c r="AC244" s="6">
        <f>[2]calculation!$P$69</f>
        <v>0</v>
      </c>
      <c r="AD244" s="38">
        <f>AB244+AA244+Y244+T244+F244</f>
        <v>27897.870000000003</v>
      </c>
      <c r="AE244" s="43" t="s">
        <v>150</v>
      </c>
      <c r="AF244" s="15" t="s">
        <v>149</v>
      </c>
      <c r="AG244" s="2"/>
      <c r="AH244" s="2" t="str">
        <f>[2]calculation!$P$42</f>
        <v>Dan &amp; Jose</v>
      </c>
      <c r="AI244" s="45" t="s">
        <v>109</v>
      </c>
    </row>
    <row r="245" spans="1:38" ht="14.25" customHeight="1" x14ac:dyDescent="0.25">
      <c r="A245" s="142"/>
      <c r="B245" s="40"/>
      <c r="C245" s="41"/>
      <c r="D245" s="41"/>
      <c r="E245" s="41"/>
      <c r="F245" s="41"/>
      <c r="G245" s="41"/>
      <c r="H245" s="41"/>
      <c r="I245" s="41"/>
      <c r="J245" s="46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4"/>
      <c r="AJ245" s="41"/>
      <c r="AK245" s="41"/>
      <c r="AL245" s="41"/>
    </row>
    <row r="246" spans="1:38" ht="14.25" customHeight="1" x14ac:dyDescent="0.25">
      <c r="A246" s="142">
        <v>3</v>
      </c>
      <c r="B246" s="19" t="s">
        <v>21</v>
      </c>
      <c r="C246" s="31">
        <f>[3]calculation!$P$34</f>
        <v>45685</v>
      </c>
      <c r="D246" s="2" t="str">
        <f>[3]calculation!$P$38</f>
        <v>1M each / 2M total</v>
      </c>
      <c r="E246" s="5">
        <f>[3]calculation!$P$39</f>
        <v>0</v>
      </c>
      <c r="F246" s="38">
        <f>[3]calculation!$P$40</f>
        <v>0</v>
      </c>
      <c r="G246" s="2"/>
      <c r="H246" s="5">
        <f>[3]calculation!$P$41</f>
        <v>9018000</v>
      </c>
      <c r="I246" s="2" t="str">
        <f>[3]calculation!$P$42</f>
        <v>replacement cost</v>
      </c>
      <c r="J246" s="5">
        <f>[3]calculation!$P$43</f>
        <v>84.515754156435676</v>
      </c>
      <c r="K246" s="5">
        <f>[3]calculation!$P$44</f>
        <v>100000</v>
      </c>
      <c r="L246" s="35">
        <f>[3]calculation!$P$45</f>
        <v>0</v>
      </c>
      <c r="M246" s="2"/>
      <c r="N246" s="36" t="s">
        <v>142</v>
      </c>
      <c r="O246" s="5">
        <f>[3]calculation!$P$48</f>
        <v>0</v>
      </c>
      <c r="P246" s="35">
        <f>[3]calculation!$P$49</f>
        <v>0</v>
      </c>
      <c r="Q246" s="2"/>
      <c r="R246" s="36" t="s">
        <v>142</v>
      </c>
      <c r="S246" s="5">
        <f>[3]calculation!$P$53</f>
        <v>25000</v>
      </c>
      <c r="T246" s="32">
        <f>[3]calculation!$P$50</f>
        <v>34002</v>
      </c>
      <c r="U246" s="2"/>
      <c r="V246" s="42" t="s">
        <v>145</v>
      </c>
      <c r="W246" s="5"/>
      <c r="X246" s="5"/>
      <c r="Y246" s="32"/>
      <c r="Z246" s="2"/>
      <c r="AA246" s="33"/>
      <c r="AB246" s="38">
        <f>[3]calculation!$P$61</f>
        <v>0</v>
      </c>
      <c r="AC246" s="6">
        <f>[3]calculation!$P$62</f>
        <v>0</v>
      </c>
      <c r="AD246" s="38">
        <f>AB246+AA246+Y246+T246+F246</f>
        <v>34002</v>
      </c>
      <c r="AE246" s="42" t="s">
        <v>150</v>
      </c>
      <c r="AF246" s="15" t="s">
        <v>149</v>
      </c>
      <c r="AG246" s="2"/>
      <c r="AH246" s="2" t="str">
        <f>[3]calculation!$P$35</f>
        <v>Matthew</v>
      </c>
      <c r="AI246" s="39"/>
    </row>
    <row r="247" spans="1:38" ht="14.25" customHeight="1" x14ac:dyDescent="0.25">
      <c r="A247" s="142"/>
      <c r="B247" s="40"/>
      <c r="C247" s="41"/>
      <c r="D247" s="41"/>
      <c r="E247" s="41"/>
      <c r="F247" s="41"/>
      <c r="G247" s="41"/>
      <c r="H247" s="41"/>
      <c r="I247" s="41"/>
      <c r="J247" s="46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4"/>
      <c r="AJ247" s="41"/>
      <c r="AK247" s="41"/>
      <c r="AL247" s="41"/>
    </row>
    <row r="248" spans="1:38" ht="14.25" customHeight="1" x14ac:dyDescent="0.25">
      <c r="A248" s="142">
        <v>4</v>
      </c>
      <c r="B248" s="19" t="s">
        <v>22</v>
      </c>
      <c r="C248" s="31">
        <f>[4]calculation!$P$50</f>
        <v>45375</v>
      </c>
      <c r="D248" s="2" t="str">
        <f>[4]calculation!$P$54</f>
        <v>1M each / 2M total</v>
      </c>
      <c r="E248" s="2" t="str">
        <f>[4]calculation!$P$55</f>
        <v>0-$2,500</v>
      </c>
      <c r="F248" s="32">
        <f>[4]calculation!$P$56</f>
        <v>6538.74</v>
      </c>
      <c r="G248" s="2"/>
      <c r="H248" s="5">
        <f>[4]calculation!$P$57</f>
        <v>5999400</v>
      </c>
      <c r="I248" s="177" t="str">
        <f>[4]calculation!$P$58</f>
        <v>replacement cost</v>
      </c>
      <c r="J248" s="5">
        <f>[4]calculation!$P$59</f>
        <v>115.27996618116137</v>
      </c>
      <c r="K248" s="5">
        <f>[4]calculation!$P$60</f>
        <v>25000</v>
      </c>
      <c r="L248" s="35">
        <f>[4]calculation!$P$61</f>
        <v>0</v>
      </c>
      <c r="M248" s="2"/>
      <c r="N248" s="42" t="s">
        <v>145</v>
      </c>
      <c r="O248" s="2"/>
      <c r="P248" s="2"/>
      <c r="Q248" s="2"/>
      <c r="R248" s="36" t="s">
        <v>142</v>
      </c>
      <c r="S248" s="5">
        <f>[4]calculation!$P$69</f>
        <v>600000</v>
      </c>
      <c r="T248" s="38">
        <f>[4]calculation!$P$66</f>
        <v>19314.55</v>
      </c>
      <c r="U248" s="2"/>
      <c r="V248" s="42" t="s">
        <v>145</v>
      </c>
      <c r="W248" s="2"/>
      <c r="X248" s="2"/>
      <c r="Y248" s="33"/>
      <c r="Z248" s="2"/>
      <c r="AA248" s="33"/>
      <c r="AB248" s="38">
        <f>[4]calculation!$P$77</f>
        <v>866.49</v>
      </c>
      <c r="AC248" s="6">
        <f>[4]calculation!$P$78</f>
        <v>0.1027</v>
      </c>
      <c r="AD248" s="38">
        <f>AB248+AA248+Y248+T248+F248</f>
        <v>26719.78</v>
      </c>
      <c r="AE248" s="15" t="s">
        <v>149</v>
      </c>
      <c r="AF248" s="15" t="s">
        <v>149</v>
      </c>
      <c r="AG248" s="2"/>
      <c r="AH248" s="2" t="str">
        <f>[4]calculation!$P$51</f>
        <v>Micah Mattox</v>
      </c>
      <c r="AI248" s="3"/>
    </row>
    <row r="249" spans="1:38" ht="14.25" customHeight="1" x14ac:dyDescent="0.25">
      <c r="A249" s="142"/>
      <c r="B249" s="40"/>
      <c r="C249" s="41"/>
      <c r="D249" s="41"/>
      <c r="E249" s="41"/>
      <c r="F249" s="41"/>
      <c r="G249" s="41"/>
      <c r="H249" s="41"/>
      <c r="I249" s="41"/>
      <c r="J249" s="46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4"/>
      <c r="AJ249" s="41"/>
      <c r="AK249" s="41"/>
      <c r="AL249" s="41"/>
    </row>
    <row r="250" spans="1:38" ht="14.25" customHeight="1" x14ac:dyDescent="0.25">
      <c r="A250" s="142">
        <v>5</v>
      </c>
      <c r="B250" s="19" t="s">
        <v>23</v>
      </c>
      <c r="C250" s="31">
        <f>[5]calculation!$P$35</f>
        <v>45641</v>
      </c>
      <c r="D250" s="2" t="str">
        <f>[5]calculation!$P$39</f>
        <v>1M each / 2M total</v>
      </c>
      <c r="E250" s="5">
        <f>[5]calculation!$P$40</f>
        <v>1000</v>
      </c>
      <c r="F250" s="32">
        <f>[5]calculation!$P$41</f>
        <v>4872.75</v>
      </c>
      <c r="G250" s="2"/>
      <c r="H250" s="5">
        <f>[5]calculation!$P$42</f>
        <v>3584875</v>
      </c>
      <c r="I250" s="2" t="str">
        <f>[5]calculation!$P$43</f>
        <v>Replacement cost</v>
      </c>
      <c r="J250" s="5">
        <v>126.92968169103848</v>
      </c>
      <c r="K250" s="5">
        <f>[5]calculation!$P$45</f>
        <v>10000</v>
      </c>
      <c r="L250" s="35">
        <f>[5]calculation!$P$46</f>
        <v>0</v>
      </c>
      <c r="M250" s="2"/>
      <c r="N250" s="42" t="s">
        <v>145</v>
      </c>
      <c r="O250" s="2"/>
      <c r="P250" s="2"/>
      <c r="Q250" s="2"/>
      <c r="R250" s="42" t="s">
        <v>145</v>
      </c>
      <c r="S250" s="2"/>
      <c r="T250" s="38">
        <f>[5]calculation!$P$51</f>
        <v>10436.299999999999</v>
      </c>
      <c r="U250" s="2"/>
      <c r="V250" s="42" t="s">
        <v>145</v>
      </c>
      <c r="W250" s="2"/>
      <c r="X250" s="2"/>
      <c r="Y250" s="33"/>
      <c r="Z250" s="2"/>
      <c r="AA250" s="33"/>
      <c r="AB250" s="38">
        <f>[5]calculation!$P$62</f>
        <v>553.47</v>
      </c>
      <c r="AC250" s="6">
        <f>[5]calculation!$P$63</f>
        <v>0.13009999999999999</v>
      </c>
      <c r="AD250" s="38">
        <f>AB250+AA250+Y250+T250+F250</f>
        <v>15862.519999999999</v>
      </c>
      <c r="AE250" s="42" t="s">
        <v>150</v>
      </c>
      <c r="AF250" s="15" t="s">
        <v>149</v>
      </c>
      <c r="AG250" s="2"/>
      <c r="AH250" s="2" t="str">
        <f>[5]calculation!$P$36</f>
        <v>Jone</v>
      </c>
      <c r="AI250" s="3"/>
    </row>
    <row r="251" spans="1:38" ht="14.25" customHeight="1" x14ac:dyDescent="0.25">
      <c r="A251" s="142"/>
      <c r="B251" s="40"/>
      <c r="C251" s="41"/>
      <c r="D251" s="41"/>
      <c r="E251" s="41"/>
      <c r="F251" s="41"/>
      <c r="G251" s="41"/>
      <c r="H251" s="41"/>
      <c r="I251" s="41"/>
      <c r="J251" s="46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4"/>
      <c r="AJ251" s="41"/>
      <c r="AK251" s="41"/>
      <c r="AL251" s="41"/>
    </row>
    <row r="252" spans="1:38" ht="14.25" customHeight="1" x14ac:dyDescent="0.25">
      <c r="A252" s="142">
        <v>6</v>
      </c>
      <c r="B252" s="19" t="s">
        <v>24</v>
      </c>
      <c r="C252" s="31">
        <f>[6]calculation!$P$43</f>
        <v>46057</v>
      </c>
      <c r="D252" s="2" t="str">
        <f>[6]calculation!$P$47</f>
        <v>1M each / 2M total</v>
      </c>
      <c r="E252" s="5">
        <f>[6]calculation!$P$48</f>
        <v>0</v>
      </c>
      <c r="F252" s="32">
        <f>[6]calculation!$P$49</f>
        <v>2846</v>
      </c>
      <c r="G252" s="2"/>
      <c r="H252" s="5">
        <f>[6]calculation!$P$50</f>
        <v>5000000</v>
      </c>
      <c r="I252" s="2" t="str">
        <f>[6]calculation!$P$51</f>
        <v>Actual cash value</v>
      </c>
      <c r="J252" s="5">
        <f>[6]calculation!$P$52</f>
        <v>33.009619002977466</v>
      </c>
      <c r="K252" s="5">
        <f>[6]calculation!$P$53</f>
        <v>50000</v>
      </c>
      <c r="L252" s="35">
        <f>[6]calculation!$P$54</f>
        <v>0</v>
      </c>
      <c r="M252" s="2"/>
      <c r="N252" s="42" t="s">
        <v>145</v>
      </c>
      <c r="O252" s="5">
        <f>[6]calculation!$P$57</f>
        <v>0</v>
      </c>
      <c r="P252" s="35">
        <f>[6]calculation!$P$58</f>
        <v>0</v>
      </c>
      <c r="Q252" s="2"/>
      <c r="R252" s="42" t="s">
        <v>145</v>
      </c>
      <c r="S252" s="2"/>
      <c r="T252" s="38">
        <f>[6]calculation!$P$59</f>
        <v>15705.04</v>
      </c>
      <c r="U252" s="2"/>
      <c r="V252" s="42" t="s">
        <v>145</v>
      </c>
      <c r="W252" s="2"/>
      <c r="X252" s="2"/>
      <c r="Y252" s="33"/>
      <c r="Z252" s="2"/>
      <c r="AA252" s="33"/>
      <c r="AB252" s="38">
        <f>[6]calculation!$P$71</f>
        <v>0</v>
      </c>
      <c r="AC252" s="6">
        <f>[6]calculation!$P$72</f>
        <v>0</v>
      </c>
      <c r="AD252" s="38">
        <f>AB252+AA252+Y252+T252+F252</f>
        <v>18551.04</v>
      </c>
      <c r="AE252" s="15" t="s">
        <v>149</v>
      </c>
      <c r="AF252" s="15" t="s">
        <v>149</v>
      </c>
      <c r="AG252" s="2"/>
      <c r="AH252" s="3" t="str">
        <f>[6]calculation!$P$44</f>
        <v xml:space="preserve">Damaris, Myriam, Ryan, Silvia </v>
      </c>
      <c r="AI252" s="39"/>
    </row>
    <row r="253" spans="1:38" ht="14.25" customHeight="1" x14ac:dyDescent="0.25">
      <c r="A253" s="142"/>
      <c r="B253" s="40"/>
      <c r="C253" s="41"/>
      <c r="D253" s="41"/>
      <c r="E253" s="41"/>
      <c r="F253" s="41"/>
      <c r="G253" s="41"/>
      <c r="H253" s="41"/>
      <c r="I253" s="41"/>
      <c r="J253" s="46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4"/>
      <c r="AJ253" s="41"/>
      <c r="AK253" s="41"/>
      <c r="AL253" s="41"/>
    </row>
    <row r="254" spans="1:38" ht="14.25" customHeight="1" x14ac:dyDescent="0.25">
      <c r="A254" s="142">
        <v>7</v>
      </c>
      <c r="B254" s="19" t="s">
        <v>25</v>
      </c>
      <c r="C254" s="31">
        <f>[7]calculation!$P$47</f>
        <v>45838</v>
      </c>
      <c r="D254" s="2" t="str">
        <f>[7]calculation!$P$51</f>
        <v>1M each / 2M total</v>
      </c>
      <c r="E254" s="5">
        <f>[7]calculation!$P$52</f>
        <v>500</v>
      </c>
      <c r="F254" s="38">
        <f>[7]calculation!$P$53</f>
        <v>7875.92</v>
      </c>
      <c r="G254" s="2"/>
      <c r="H254" s="5">
        <f>[7]calculation!$P$54</f>
        <v>13844430</v>
      </c>
      <c r="I254" s="2" t="str">
        <f>[7]calculation!$P$55</f>
        <v>replacement cost</v>
      </c>
      <c r="J254" s="5">
        <f>[7]calculation!$P$56</f>
        <v>96.814195804195805</v>
      </c>
      <c r="K254" s="5">
        <f>[7]calculation!$P$57</f>
        <v>50000</v>
      </c>
      <c r="L254" s="35">
        <f>[7]calculation!$P$58</f>
        <v>0</v>
      </c>
      <c r="M254" s="2"/>
      <c r="N254" s="36" t="s">
        <v>142</v>
      </c>
      <c r="O254" s="5">
        <f>[7]calculation!$P$61</f>
        <v>0</v>
      </c>
      <c r="P254" s="6">
        <f>[7]calculation!$P$62</f>
        <v>0</v>
      </c>
      <c r="Q254" s="2"/>
      <c r="R254" s="36" t="s">
        <v>142</v>
      </c>
      <c r="S254" s="5">
        <f>[7]calculation!$P$66</f>
        <v>875276</v>
      </c>
      <c r="T254" s="38">
        <f>[7]calculation!$P$63</f>
        <v>34181</v>
      </c>
      <c r="U254" s="2"/>
      <c r="V254" s="42" t="s">
        <v>145</v>
      </c>
      <c r="W254" s="2"/>
      <c r="X254" s="2"/>
      <c r="Y254" s="33"/>
      <c r="Z254" s="2"/>
      <c r="AA254" s="33"/>
      <c r="AB254" s="38">
        <f>[7]calculation!$P$74</f>
        <v>2107.13</v>
      </c>
      <c r="AC254" s="6">
        <f>[7]calculation!$P$75</f>
        <v>9.4700000000000006E-2</v>
      </c>
      <c r="AD254" s="38">
        <f>AB254+AA254+Y254+T254+F254</f>
        <v>44164.049999999996</v>
      </c>
      <c r="AE254" s="42" t="s">
        <v>150</v>
      </c>
      <c r="AF254" s="15" t="s">
        <v>149</v>
      </c>
      <c r="AG254" s="2"/>
      <c r="AH254" s="2" t="str">
        <f>[7]calculation!$P$48</f>
        <v>Matthew</v>
      </c>
      <c r="AI254" s="39" t="s">
        <v>70</v>
      </c>
    </row>
    <row r="255" spans="1:38" ht="14.25" customHeight="1" x14ac:dyDescent="0.25">
      <c r="A255" s="142"/>
      <c r="B255" s="40"/>
      <c r="C255" s="41"/>
      <c r="D255" s="41"/>
      <c r="E255" s="41"/>
      <c r="F255" s="41"/>
      <c r="G255" s="41"/>
      <c r="H255" s="41"/>
      <c r="I255" s="41"/>
      <c r="J255" s="47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4"/>
      <c r="AJ255" s="41"/>
      <c r="AK255" s="41"/>
      <c r="AL255" s="41"/>
    </row>
    <row r="256" spans="1:38" ht="14.25" customHeight="1" x14ac:dyDescent="0.25">
      <c r="A256" s="142">
        <v>8</v>
      </c>
      <c r="B256" s="3" t="s">
        <v>26</v>
      </c>
      <c r="C256" s="31">
        <f>[8]calculation!$P$27</f>
        <v>45632</v>
      </c>
      <c r="D256" s="2" t="str">
        <f>[8]calculation!$P$31</f>
        <v>1M each / 2M total</v>
      </c>
      <c r="E256" s="5">
        <f>[8]calculation!$P$32</f>
        <v>0</v>
      </c>
      <c r="F256" s="38">
        <f>[8]calculation!$P$33</f>
        <v>4493.3</v>
      </c>
      <c r="G256" s="2"/>
      <c r="H256" s="5">
        <f>[8]calculation!$P$34</f>
        <v>2226400</v>
      </c>
      <c r="I256" s="2" t="str">
        <f>[8]calculation!$P$35</f>
        <v>replacement cost</v>
      </c>
      <c r="J256" s="5">
        <f>[8]calculation!$P$36</f>
        <v>109.13725490196079</v>
      </c>
      <c r="K256" s="5">
        <f>[8]calculation!$P$37</f>
        <v>10000</v>
      </c>
      <c r="L256" s="35">
        <f>[8]calculation!$P$38</f>
        <v>0.8</v>
      </c>
      <c r="M256" s="2"/>
      <c r="N256" s="42" t="s">
        <v>145</v>
      </c>
      <c r="O256" s="2"/>
      <c r="P256" s="2"/>
      <c r="Q256" s="2"/>
      <c r="R256" s="42" t="s">
        <v>145</v>
      </c>
      <c r="S256" s="5"/>
      <c r="T256" s="38">
        <f>[8]calculation!$P$43</f>
        <v>8062.8</v>
      </c>
      <c r="U256" s="2"/>
      <c r="V256" s="42" t="s">
        <v>145</v>
      </c>
      <c r="W256" s="2"/>
      <c r="X256" s="2"/>
      <c r="Y256" s="33"/>
      <c r="Z256" s="2"/>
      <c r="AA256" s="33"/>
      <c r="AB256" s="38">
        <f>[8]calculation!$P$54</f>
        <v>529.83000000000004</v>
      </c>
      <c r="AC256" s="6">
        <f>[8]calculation!$P$55</f>
        <v>0.13450000000000001</v>
      </c>
      <c r="AD256" s="38">
        <f>AB256+AA256+Y256+T256+F256</f>
        <v>13085.93</v>
      </c>
      <c r="AE256" s="15" t="s">
        <v>149</v>
      </c>
      <c r="AF256" s="15" t="s">
        <v>149</v>
      </c>
      <c r="AG256" s="2"/>
      <c r="AH256" s="2" t="str">
        <f>[8]calculation!$P$28</f>
        <v>Jone</v>
      </c>
      <c r="AI256" s="3"/>
    </row>
    <row r="257" spans="1:38" ht="14.25" customHeight="1" x14ac:dyDescent="0.25">
      <c r="A257" s="142"/>
      <c r="B257" s="40"/>
      <c r="C257" s="41"/>
      <c r="D257" s="41"/>
      <c r="E257" s="41"/>
      <c r="F257" s="41"/>
      <c r="G257" s="41"/>
      <c r="H257" s="41"/>
      <c r="I257" s="41"/>
      <c r="J257" s="47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4"/>
      <c r="AJ257" s="41"/>
      <c r="AK257" s="41"/>
      <c r="AL257" s="41"/>
    </row>
    <row r="258" spans="1:38" ht="14.25" customHeight="1" x14ac:dyDescent="0.25">
      <c r="A258" s="142">
        <v>9</v>
      </c>
      <c r="B258" s="19" t="s">
        <v>27</v>
      </c>
      <c r="C258" s="31">
        <f>[9]calculation!$P$29</f>
        <v>45476</v>
      </c>
      <c r="D258" s="2" t="str">
        <f>[9]calculation!$P$33</f>
        <v>1M each / 2M total</v>
      </c>
      <c r="E258" s="5">
        <f>[9]calculation!$P$34</f>
        <v>0</v>
      </c>
      <c r="F258" s="38">
        <f>[9]calculation!$P$35</f>
        <v>0</v>
      </c>
      <c r="G258" s="2"/>
      <c r="H258" s="5">
        <f>[9]calculation!$P$36</f>
        <v>8888750</v>
      </c>
      <c r="I258" s="2" t="str">
        <f>[9]calculation!$P$37</f>
        <v>replacement cost</v>
      </c>
      <c r="J258" s="5">
        <f>[9]calculation!$P$38</f>
        <v>140.66480986216391</v>
      </c>
      <c r="K258" s="5">
        <f>[9]calculation!$P$39</f>
        <v>50000</v>
      </c>
      <c r="L258" s="35">
        <f>[9]calculation!$P$40</f>
        <v>0.8</v>
      </c>
      <c r="M258" s="2"/>
      <c r="N258" s="42" t="s">
        <v>145</v>
      </c>
      <c r="O258" s="2"/>
      <c r="P258" s="2"/>
      <c r="Q258" s="2"/>
      <c r="R258" s="36" t="s">
        <v>142</v>
      </c>
      <c r="S258" s="5">
        <f>[9]calculation!$P$48</f>
        <v>200000</v>
      </c>
      <c r="T258" s="32">
        <f>[9]calculation!$P$45</f>
        <v>23907.38</v>
      </c>
      <c r="U258" s="2"/>
      <c r="V258" s="42" t="s">
        <v>145</v>
      </c>
      <c r="W258" s="2"/>
      <c r="X258" s="2"/>
      <c r="Y258" s="33"/>
      <c r="Z258" s="2"/>
      <c r="AA258" s="33"/>
      <c r="AB258" s="38">
        <f>[9]calculation!$P$56</f>
        <v>790</v>
      </c>
      <c r="AC258" s="6">
        <f>[9]calculation!$P$57</f>
        <v>0.1123</v>
      </c>
      <c r="AD258" s="38">
        <f>AB258+AA258+Y258+T258+F258</f>
        <v>24697.38</v>
      </c>
      <c r="AE258" s="15" t="s">
        <v>149</v>
      </c>
      <c r="AF258" s="15" t="s">
        <v>149</v>
      </c>
      <c r="AG258" s="2"/>
      <c r="AH258" s="2" t="str">
        <f>[9]calculation!$P$30</f>
        <v>Jone</v>
      </c>
      <c r="AI258" s="39" t="s">
        <v>71</v>
      </c>
    </row>
    <row r="259" spans="1:38" ht="14.25" customHeight="1" x14ac:dyDescent="0.25">
      <c r="A259" s="142"/>
      <c r="B259" s="40"/>
      <c r="C259" s="41"/>
      <c r="D259" s="41"/>
      <c r="E259" s="41"/>
      <c r="F259" s="41"/>
      <c r="G259" s="41"/>
      <c r="H259" s="41"/>
      <c r="I259" s="41"/>
      <c r="J259" s="47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4"/>
      <c r="AJ259" s="41"/>
      <c r="AK259" s="41"/>
      <c r="AL259" s="41"/>
    </row>
    <row r="260" spans="1:38" ht="14.25" customHeight="1" x14ac:dyDescent="0.25">
      <c r="A260" s="142">
        <v>10</v>
      </c>
      <c r="B260" s="3" t="s">
        <v>28</v>
      </c>
      <c r="C260" s="31">
        <f>[10]calculation!$P$38</f>
        <v>45646</v>
      </c>
      <c r="D260" s="2" t="str">
        <f>[10]calculation!$P$42</f>
        <v>1M each / 2M total</v>
      </c>
      <c r="E260" s="5">
        <f>[10]calculation!$P$43</f>
        <v>2500</v>
      </c>
      <c r="F260" s="32">
        <f>[10]calculation!$P$44</f>
        <v>19831.400000000001</v>
      </c>
      <c r="G260" s="2"/>
      <c r="H260" s="5">
        <f>[10]calculation!$P$46</f>
        <v>17270000</v>
      </c>
      <c r="I260" s="2" t="str">
        <f>[10]calculation!$P$47</f>
        <v>replacement cost</v>
      </c>
      <c r="J260" s="5">
        <f>[10]calculation!$P$48</f>
        <v>91.377111806007505</v>
      </c>
      <c r="K260" s="5">
        <f>[10]calculation!$P$49</f>
        <v>25000</v>
      </c>
      <c r="L260" s="35">
        <f>[10]calculation!$P$50</f>
        <v>0</v>
      </c>
      <c r="M260" s="2"/>
      <c r="N260" s="42" t="s">
        <v>145</v>
      </c>
      <c r="O260" s="2"/>
      <c r="P260" s="2"/>
      <c r="Q260" s="2"/>
      <c r="R260" s="36" t="s">
        <v>142</v>
      </c>
      <c r="S260" s="5">
        <f>[10]calculation!$P$58</f>
        <v>1100000</v>
      </c>
      <c r="T260" s="38">
        <f>[10]calculation!$P$55</f>
        <v>48109</v>
      </c>
      <c r="U260" s="2"/>
      <c r="V260" s="42" t="s">
        <v>145</v>
      </c>
      <c r="W260" s="2"/>
      <c r="X260" s="2"/>
      <c r="Y260" s="33"/>
      <c r="Z260" s="2"/>
      <c r="AA260" s="33"/>
      <c r="AB260" s="38">
        <f>[10]calculation!$P$66</f>
        <v>2025.3</v>
      </c>
      <c r="AC260" s="6">
        <f>[10]calculation!$P$67</f>
        <v>9.6100000000000005E-2</v>
      </c>
      <c r="AD260" s="38">
        <f>AB260+AA260+Y260+T260+F260</f>
        <v>69965.700000000012</v>
      </c>
      <c r="AE260" s="15" t="s">
        <v>149</v>
      </c>
      <c r="AF260" s="15" t="s">
        <v>149</v>
      </c>
      <c r="AG260" s="2"/>
      <c r="AH260" s="2" t="str">
        <f>[10]calculation!$P$39</f>
        <v>Jone</v>
      </c>
      <c r="AI260" s="3"/>
    </row>
    <row r="261" spans="1:38" ht="14.25" customHeight="1" x14ac:dyDescent="0.25">
      <c r="A261" s="142"/>
      <c r="B261" s="40"/>
      <c r="C261" s="41"/>
      <c r="D261" s="41"/>
      <c r="E261" s="41"/>
      <c r="F261" s="41"/>
      <c r="G261" s="41"/>
      <c r="H261" s="41"/>
      <c r="I261" s="41"/>
      <c r="J261" s="47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4"/>
      <c r="AJ261" s="41"/>
      <c r="AK261" s="41"/>
      <c r="AL261" s="41"/>
    </row>
    <row r="262" spans="1:38" ht="14.25" customHeight="1" x14ac:dyDescent="0.25">
      <c r="A262" s="142">
        <v>11</v>
      </c>
      <c r="B262" s="3" t="s">
        <v>29</v>
      </c>
      <c r="C262" s="31">
        <f>[11]calculation!$P$30</f>
        <v>45614</v>
      </c>
      <c r="D262" s="2" t="str">
        <f>[11]calculation!$P$34</f>
        <v>1M each / 2M total</v>
      </c>
      <c r="E262" s="5">
        <f>[11]calculation!$P$35</f>
        <v>500</v>
      </c>
      <c r="F262" s="32">
        <f>[11]calculation!$P$36</f>
        <v>3089.4</v>
      </c>
      <c r="G262" s="2"/>
      <c r="H262" s="5">
        <f>[11]calculation!$P$38</f>
        <v>2150000</v>
      </c>
      <c r="I262" s="2" t="str">
        <f>[11]calculation!$P$39</f>
        <v>replacement cost</v>
      </c>
      <c r="J262" s="5">
        <f>[11]calculation!$P$40</f>
        <v>116.21621621621621</v>
      </c>
      <c r="K262" s="5">
        <f>[11]calculation!$P$41</f>
        <v>5000</v>
      </c>
      <c r="L262" s="35">
        <f>[11]calculation!$P$42</f>
        <v>0.8</v>
      </c>
      <c r="M262" s="2"/>
      <c r="N262" s="42" t="s">
        <v>145</v>
      </c>
      <c r="O262" s="2"/>
      <c r="P262" s="2"/>
      <c r="Q262" s="2"/>
      <c r="R262" s="42" t="s">
        <v>145</v>
      </c>
      <c r="S262" s="2"/>
      <c r="T262" s="38">
        <f>[11]calculation!$P$47</f>
        <v>7429.65</v>
      </c>
      <c r="U262" s="2"/>
      <c r="V262" s="42" t="s">
        <v>145</v>
      </c>
      <c r="W262" s="2"/>
      <c r="X262" s="2"/>
      <c r="Y262" s="33"/>
      <c r="Z262" s="2"/>
      <c r="AA262" s="33"/>
      <c r="AB262" s="38">
        <f>[11]calculation!$P$58</f>
        <v>404.42</v>
      </c>
      <c r="AC262" s="6">
        <f>[11]calculation!$P$59</f>
        <v>0.1361</v>
      </c>
      <c r="AD262" s="38">
        <f>AB262+AA262+Y262+T262+F262</f>
        <v>10923.47</v>
      </c>
      <c r="AE262" s="15" t="s">
        <v>149</v>
      </c>
      <c r="AF262" s="15" t="s">
        <v>149</v>
      </c>
      <c r="AG262" s="2"/>
      <c r="AH262" s="2" t="str">
        <f>[11]calculation!$P$31</f>
        <v>Jone</v>
      </c>
      <c r="AI262" s="3"/>
    </row>
    <row r="263" spans="1:38" ht="14.25" customHeight="1" x14ac:dyDescent="0.25">
      <c r="A263" s="142"/>
      <c r="B263" s="40"/>
      <c r="C263" s="41"/>
      <c r="D263" s="41"/>
      <c r="E263" s="41"/>
      <c r="F263" s="41"/>
      <c r="G263" s="41"/>
      <c r="H263" s="41"/>
      <c r="I263" s="41"/>
      <c r="J263" s="47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4"/>
      <c r="AJ263" s="41"/>
      <c r="AK263" s="41"/>
      <c r="AL263" s="41"/>
    </row>
    <row r="264" spans="1:38" ht="14.25" customHeight="1" x14ac:dyDescent="0.25">
      <c r="A264" s="142">
        <v>12</v>
      </c>
      <c r="B264" s="83" t="s">
        <v>30</v>
      </c>
      <c r="C264" s="31">
        <f>[12]calculation!$P$55</f>
        <v>45296</v>
      </c>
      <c r="D264" s="2" t="str">
        <f>[12]calculation!$P$59</f>
        <v>1M each / 2M total</v>
      </c>
      <c r="E264" s="5">
        <f>[12]calculation!$P$60</f>
        <v>0</v>
      </c>
      <c r="F264" s="32">
        <f>[12]calculation!$P$61</f>
        <v>10260</v>
      </c>
      <c r="G264" s="2"/>
      <c r="H264" s="5">
        <f>[12]calculation!$P$63</f>
        <v>3100000</v>
      </c>
      <c r="I264" s="2" t="str">
        <f>[12]calculation!$P$64</f>
        <v>Actual cash value</v>
      </c>
      <c r="J264" s="5">
        <f>[12]calculation!$P$65</f>
        <v>27.450390061187804</v>
      </c>
      <c r="K264" s="5">
        <f>[12]calculation!$P$66</f>
        <v>5000</v>
      </c>
      <c r="L264" s="35">
        <f>[12]calculation!$P$67</f>
        <v>0.8</v>
      </c>
      <c r="M264" s="2"/>
      <c r="N264" s="36" t="s">
        <v>142</v>
      </c>
      <c r="O264" s="5">
        <f>[12]calculation!$P$70</f>
        <v>5000</v>
      </c>
      <c r="P264" s="6">
        <f>[12]calculation!$P$71</f>
        <v>1.6129032258064516E-3</v>
      </c>
      <c r="Q264" s="2"/>
      <c r="R264" s="36" t="s">
        <v>142</v>
      </c>
      <c r="S264" s="5">
        <f>[12]calculation!$P$75</f>
        <v>689000</v>
      </c>
      <c r="T264" s="32">
        <f>[12]calculation!$P$72</f>
        <v>14850</v>
      </c>
      <c r="U264" s="2"/>
      <c r="V264" s="42" t="s">
        <v>145</v>
      </c>
      <c r="W264" s="2"/>
      <c r="X264" s="2"/>
      <c r="Y264" s="33"/>
      <c r="Z264" s="2"/>
      <c r="AA264" s="38">
        <f>[12]calculation!$P$82</f>
        <v>1164.25</v>
      </c>
      <c r="AB264" s="38">
        <f>[12]calculation!$P$83</f>
        <v>1435.49</v>
      </c>
      <c r="AC264" s="6">
        <f>[12]calculation!$P$84</f>
        <v>0.13600000000000001</v>
      </c>
      <c r="AD264" s="38">
        <f>AB264+AA264+Y264+T264+F264</f>
        <v>27709.739999999998</v>
      </c>
      <c r="AE264" s="15" t="s">
        <v>149</v>
      </c>
      <c r="AF264" s="15" t="s">
        <v>149</v>
      </c>
      <c r="AG264" s="2"/>
      <c r="AH264" s="2" t="str">
        <f>[12]calculation!$P$56</f>
        <v>Dan &amp; Jose</v>
      </c>
      <c r="AI264" s="3"/>
    </row>
    <row r="265" spans="1:38" ht="14.25" customHeight="1" x14ac:dyDescent="0.25">
      <c r="A265" s="142"/>
      <c r="B265" s="40"/>
      <c r="C265" s="41"/>
      <c r="D265" s="41"/>
      <c r="E265" s="41"/>
      <c r="F265" s="41"/>
      <c r="G265" s="41"/>
      <c r="H265" s="41"/>
      <c r="I265" s="41"/>
      <c r="J265" s="47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4"/>
      <c r="AJ265" s="41"/>
      <c r="AK265" s="41"/>
      <c r="AL265" s="41"/>
    </row>
    <row r="266" spans="1:38" ht="14.25" customHeight="1" x14ac:dyDescent="0.25">
      <c r="A266" s="142">
        <v>13</v>
      </c>
      <c r="B266" s="30" t="s">
        <v>32</v>
      </c>
      <c r="C266" s="31">
        <f>[13]calculation!$P$44</f>
        <v>45387</v>
      </c>
      <c r="D266" s="2" t="str">
        <f>[13]calculation!$P$48</f>
        <v>1M each / 2M total</v>
      </c>
      <c r="E266" s="5">
        <f>[13]calculation!$P$49</f>
        <v>0</v>
      </c>
      <c r="F266" s="32">
        <f>[13]calculation!$P$50</f>
        <v>11952</v>
      </c>
      <c r="G266" s="2"/>
      <c r="H266" s="5">
        <f>[13]calculation!$P$53</f>
        <v>15919015</v>
      </c>
      <c r="I266" s="5" t="str">
        <f>[13]calculation!$P$54</f>
        <v>replacement cost</v>
      </c>
      <c r="J266" s="5">
        <f>[13]calculation!$P$55</f>
        <v>134.22780508781841</v>
      </c>
      <c r="K266" s="5">
        <f>[13]calculation!$P$56</f>
        <v>10000</v>
      </c>
      <c r="L266" s="35">
        <f>[13]calculation!$P$57</f>
        <v>0</v>
      </c>
      <c r="M266" s="2"/>
      <c r="N266" s="144" t="s">
        <v>142</v>
      </c>
      <c r="O266" s="5">
        <f>[13]calculation!$P$60</f>
        <v>0</v>
      </c>
      <c r="P266" s="35">
        <f>[13]calculation!$P$61</f>
        <v>0</v>
      </c>
      <c r="Q266" s="2"/>
      <c r="R266" s="144" t="s">
        <v>142</v>
      </c>
      <c r="S266" s="5">
        <f>[13]calculation!$P$65</f>
        <v>774815</v>
      </c>
      <c r="T266" s="32">
        <f>[13]calculation!$P$62</f>
        <v>19236</v>
      </c>
      <c r="U266" s="2"/>
      <c r="V266" s="145" t="s">
        <v>145</v>
      </c>
      <c r="W266" s="2"/>
      <c r="X266" s="2"/>
      <c r="Y266" s="33"/>
      <c r="Z266" s="2"/>
      <c r="AA266" s="32">
        <f>[13]calculation!$P$72</f>
        <v>0</v>
      </c>
      <c r="AB266" s="38">
        <f>[13]calculation!$P$73</f>
        <v>0</v>
      </c>
      <c r="AC266" s="6">
        <f>[13]calculation!$P$74</f>
        <v>0</v>
      </c>
      <c r="AD266" s="38">
        <f>AB266+AA266+Y266+T266+F266</f>
        <v>31188</v>
      </c>
      <c r="AE266" s="15" t="s">
        <v>149</v>
      </c>
      <c r="AF266" s="15" t="s">
        <v>149</v>
      </c>
      <c r="AG266" s="2"/>
      <c r="AH266" s="2" t="str">
        <f>[13]calculation!$P$45</f>
        <v>Micah Mattox</v>
      </c>
      <c r="AI266" s="39" t="s">
        <v>72</v>
      </c>
    </row>
    <row r="267" spans="1:38" ht="14.25" customHeight="1" x14ac:dyDescent="0.25">
      <c r="A267" s="142"/>
      <c r="B267" s="40"/>
      <c r="C267" s="41"/>
      <c r="D267" s="41"/>
      <c r="E267" s="41"/>
      <c r="F267" s="41"/>
      <c r="G267" s="41"/>
      <c r="H267" s="41"/>
      <c r="I267" s="41"/>
      <c r="J267" s="47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4"/>
      <c r="AJ267" s="41"/>
      <c r="AK267" s="41"/>
      <c r="AL267" s="41"/>
    </row>
    <row r="268" spans="1:38" ht="14.25" customHeight="1" x14ac:dyDescent="0.25">
      <c r="A268" s="142">
        <v>14</v>
      </c>
      <c r="B268" s="19" t="s">
        <v>112</v>
      </c>
      <c r="C268" s="31">
        <f>[14]calculation!$P$43</f>
        <v>45653</v>
      </c>
      <c r="D268" s="2" t="str">
        <f>[14]calculation!$P$47</f>
        <v>1M each / 2M total</v>
      </c>
      <c r="E268" s="5">
        <f>[14]calculation!$P$48</f>
        <v>0</v>
      </c>
      <c r="F268" s="32">
        <f>[14]calculation!$P$49</f>
        <v>8997.0400000000009</v>
      </c>
      <c r="G268" s="2"/>
      <c r="H268" s="5">
        <f>[14]calculation!$P$50</f>
        <v>24006150</v>
      </c>
      <c r="I268" s="5" t="str">
        <f>[14]calculation!$P$51</f>
        <v>Replacement cost</v>
      </c>
      <c r="J268" s="5">
        <f>[14]calculation!$P$52</f>
        <v>145.94646352881097</v>
      </c>
      <c r="K268" s="5">
        <f>[14]calculation!$P$53</f>
        <v>100000</v>
      </c>
      <c r="L268" s="35">
        <f>[14]calculation!$P$54</f>
        <v>0</v>
      </c>
      <c r="M268" s="2"/>
      <c r="N268" s="36" t="s">
        <v>142</v>
      </c>
      <c r="O268" s="5">
        <f>[14]calculation!$P$57</f>
        <v>1200307.5</v>
      </c>
      <c r="P268" s="35">
        <f>[14]calculation!$P$58</f>
        <v>0.05</v>
      </c>
      <c r="Q268" s="2"/>
      <c r="R268" s="36" t="s">
        <v>142</v>
      </c>
      <c r="S268" s="5">
        <f>[14]calculation!$P$62</f>
        <v>1094710</v>
      </c>
      <c r="T268" s="32">
        <f>[14]calculation!$P$59</f>
        <v>49606.96</v>
      </c>
      <c r="U268" s="2"/>
      <c r="V268" s="42" t="s">
        <v>145</v>
      </c>
      <c r="W268" s="2"/>
      <c r="X268" s="2"/>
      <c r="Y268" s="33"/>
      <c r="Z268" s="2"/>
      <c r="AA268" s="33"/>
      <c r="AB268" s="38">
        <f>[14]calculation!$P$70</f>
        <v>1904.79</v>
      </c>
      <c r="AC268" s="6">
        <f>[14]calculation!$P$71</f>
        <v>9.4700000000000006E-2</v>
      </c>
      <c r="AD268" s="38">
        <f>AB268+AA268+Y268+T268+F268</f>
        <v>60508.79</v>
      </c>
      <c r="AE268" s="15" t="s">
        <v>149</v>
      </c>
      <c r="AF268" s="15" t="s">
        <v>149</v>
      </c>
      <c r="AG268" s="2"/>
      <c r="AH268" s="2" t="str">
        <f>[14]calculation!$P$44</f>
        <v>Micah Mattox</v>
      </c>
      <c r="AI268" s="45" t="s">
        <v>114</v>
      </c>
    </row>
    <row r="269" spans="1:38" ht="14.25" customHeight="1" x14ac:dyDescent="0.25">
      <c r="A269" s="142"/>
      <c r="B269" s="123"/>
      <c r="C269" s="127"/>
      <c r="D269" s="128"/>
      <c r="E269" s="71"/>
      <c r="F269" s="71"/>
      <c r="G269" s="128"/>
      <c r="H269" s="71"/>
      <c r="I269" s="71"/>
      <c r="J269" s="129"/>
      <c r="K269" s="71"/>
      <c r="L269" s="130"/>
      <c r="M269" s="128"/>
      <c r="N269" s="131"/>
      <c r="O269" s="71"/>
      <c r="P269" s="130"/>
      <c r="Q269" s="128"/>
      <c r="R269" s="131"/>
      <c r="S269" s="71"/>
      <c r="T269" s="71"/>
      <c r="U269" s="128"/>
      <c r="V269" s="131"/>
      <c r="W269" s="128"/>
      <c r="X269" s="128"/>
      <c r="Y269" s="128"/>
      <c r="Z269" s="128"/>
      <c r="AA269" s="128"/>
      <c r="AB269" s="132"/>
      <c r="AC269" s="126"/>
      <c r="AD269" s="132"/>
      <c r="AE269" s="131"/>
      <c r="AF269" s="131"/>
      <c r="AG269" s="128"/>
      <c r="AH269" s="128"/>
      <c r="AI269" s="133"/>
      <c r="AJ269" s="134"/>
      <c r="AK269" s="134"/>
      <c r="AL269" s="134"/>
    </row>
    <row r="270" spans="1:38" ht="14.25" customHeight="1" thickBot="1" x14ac:dyDescent="0.3">
      <c r="A270" s="142">
        <v>15</v>
      </c>
      <c r="B270" s="74" t="s">
        <v>140</v>
      </c>
      <c r="C270" s="84">
        <f>[15]calculation!$P$39</f>
        <v>45777</v>
      </c>
      <c r="D270" s="85" t="str">
        <f>[15]calculation!$P$43</f>
        <v>1M each / 2M total</v>
      </c>
      <c r="E270" s="28">
        <f>[15]calculation!$P$44</f>
        <v>5000</v>
      </c>
      <c r="F270" s="86">
        <f>[15]calculation!$P$45</f>
        <v>23329</v>
      </c>
      <c r="G270" s="85"/>
      <c r="H270" s="28">
        <f>[15]calculation!$P$46</f>
        <v>5000000</v>
      </c>
      <c r="I270" s="28" t="str">
        <f>[15]calculation!$P$47</f>
        <v>Actual cash value</v>
      </c>
      <c r="J270" s="28">
        <f>[15]calculation!$P$48</f>
        <v>26.502843755134926</v>
      </c>
      <c r="K270" s="28">
        <f>[15]calculation!$P$49</f>
        <v>25000</v>
      </c>
      <c r="L270" s="87">
        <f>[15]calculation!$P$50</f>
        <v>0</v>
      </c>
      <c r="M270" s="85"/>
      <c r="N270" s="135" t="s">
        <v>142</v>
      </c>
      <c r="O270" s="28">
        <f>[15]calculation!$P$53</f>
        <v>250000</v>
      </c>
      <c r="P270" s="87">
        <f>[15]calculation!$P$54</f>
        <v>0.05</v>
      </c>
      <c r="Q270" s="85"/>
      <c r="R270" s="135" t="s">
        <v>142</v>
      </c>
      <c r="S270" s="136" t="str">
        <f>[15]calculation!$P$58</f>
        <v>?</v>
      </c>
      <c r="T270" s="86">
        <f>[15]calculation!$P$55</f>
        <v>102910.28</v>
      </c>
      <c r="U270" s="85"/>
      <c r="V270" s="88" t="s">
        <v>142</v>
      </c>
      <c r="W270" s="28">
        <f>[15]calculation!$P$62</f>
        <v>3500000</v>
      </c>
      <c r="X270" s="28">
        <f>[15]calculation!$P$61</f>
        <v>50000</v>
      </c>
      <c r="Y270" s="86">
        <f>[15]calculation!$P$63</f>
        <v>31427.87</v>
      </c>
      <c r="Z270" s="85"/>
      <c r="AA270" s="86">
        <f>[15]calculation!$P$65</f>
        <v>10000</v>
      </c>
      <c r="AB270" s="90">
        <f>[15]calculation!$P$66</f>
        <v>3078</v>
      </c>
      <c r="AC270" s="91">
        <f>[15]calculation!$P$67</f>
        <v>8.6699999999999999E-2</v>
      </c>
      <c r="AD270" s="90">
        <f>AB270+AA270+Y270+T270+F270</f>
        <v>170745.15</v>
      </c>
      <c r="AE270" s="89" t="s">
        <v>150</v>
      </c>
      <c r="AF270" s="137" t="s">
        <v>149</v>
      </c>
      <c r="AG270" s="85"/>
      <c r="AH270" s="85" t="str">
        <f>[15]calculation!$P$40</f>
        <v>Micha Mattox</v>
      </c>
      <c r="AI270" s="181" t="s">
        <v>143</v>
      </c>
      <c r="AJ270" s="92"/>
      <c r="AK270" s="92"/>
      <c r="AL270" s="92"/>
    </row>
    <row r="271" spans="1:38" ht="14.25" customHeight="1" thickTop="1" x14ac:dyDescent="0.25">
      <c r="B271" s="14" t="s">
        <v>8</v>
      </c>
      <c r="C271" s="15"/>
      <c r="D271" s="15"/>
      <c r="E271" s="15"/>
      <c r="F271" s="34">
        <f>SUM(F242:F270)</f>
        <v>111307.45000000001</v>
      </c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34">
        <f>SUM(T242:T270)</f>
        <v>434976.93000000005</v>
      </c>
      <c r="U271" s="15"/>
      <c r="V271" s="15"/>
      <c r="W271" s="15"/>
      <c r="X271" s="15"/>
      <c r="Y271" s="34">
        <f>SUM(Y242:Y270)</f>
        <v>49695.869999999995</v>
      </c>
      <c r="Z271" s="15"/>
      <c r="AA271" s="34">
        <f>SUM(AA242:AA270)</f>
        <v>12320.85</v>
      </c>
      <c r="AB271" s="34">
        <f>SUM(AB242:AB270)</f>
        <v>13869.920000000002</v>
      </c>
      <c r="AC271" s="16">
        <f>AVERAGE(AC242:AC270)</f>
        <v>8.2293333333333329E-2</v>
      </c>
      <c r="AD271" s="37">
        <f>SUM(AD242:AD270)</f>
        <v>622171.0199999999</v>
      </c>
      <c r="AE271" s="15"/>
      <c r="AF271" s="15"/>
      <c r="AG271" s="15"/>
      <c r="AH271" s="15"/>
      <c r="AI271" s="15"/>
      <c r="AJ271" s="15"/>
      <c r="AK271" s="15"/>
      <c r="AL271" s="15"/>
    </row>
    <row r="272" spans="1:38" ht="14.25" customHeight="1" x14ac:dyDescent="0.25">
      <c r="AC272" s="8" t="s">
        <v>9</v>
      </c>
    </row>
    <row r="273" spans="1:38" ht="14.25" customHeight="1" x14ac:dyDescent="0.25">
      <c r="AC273" s="8"/>
    </row>
    <row r="274" spans="1:38" ht="14.25" customHeight="1" x14ac:dyDescent="0.25"/>
    <row r="275" spans="1:38" ht="14.25" customHeight="1" x14ac:dyDescent="0.25"/>
    <row r="276" spans="1:38" ht="49.8" customHeight="1" x14ac:dyDescent="0.25">
      <c r="A276" s="9"/>
      <c r="B276" s="10" t="s">
        <v>186</v>
      </c>
      <c r="C276" s="9" t="s">
        <v>42</v>
      </c>
      <c r="D276" s="9" t="s">
        <v>43</v>
      </c>
      <c r="E276" s="9" t="s">
        <v>44</v>
      </c>
      <c r="F276" s="9" t="s">
        <v>65</v>
      </c>
      <c r="H276" s="9" t="s">
        <v>45</v>
      </c>
      <c r="I276" s="9" t="s">
        <v>46</v>
      </c>
      <c r="J276" s="9" t="s">
        <v>47</v>
      </c>
      <c r="K276" s="9" t="s">
        <v>48</v>
      </c>
      <c r="L276" s="9" t="s">
        <v>49</v>
      </c>
      <c r="N276" s="9" t="s">
        <v>50</v>
      </c>
      <c r="O276" s="9" t="s">
        <v>51</v>
      </c>
      <c r="P276" s="9" t="s">
        <v>52</v>
      </c>
      <c r="Q276" s="9"/>
      <c r="R276" s="9" t="s">
        <v>53</v>
      </c>
      <c r="S276" s="9" t="s">
        <v>54</v>
      </c>
      <c r="T276" s="9" t="s">
        <v>64</v>
      </c>
      <c r="V276" s="9" t="s">
        <v>55</v>
      </c>
      <c r="W276" s="9" t="s">
        <v>56</v>
      </c>
      <c r="X276" s="9" t="s">
        <v>57</v>
      </c>
      <c r="Y276" s="9" t="s">
        <v>63</v>
      </c>
      <c r="AA276" s="9" t="s">
        <v>58</v>
      </c>
      <c r="AB276" s="9" t="s">
        <v>59</v>
      </c>
      <c r="AC276" s="9" t="s">
        <v>60</v>
      </c>
      <c r="AD276" s="9" t="s">
        <v>68</v>
      </c>
      <c r="AE276" s="9" t="s">
        <v>61</v>
      </c>
      <c r="AF276" s="9" t="s">
        <v>62</v>
      </c>
      <c r="AG276" s="9"/>
      <c r="AH276" s="9" t="s">
        <v>66</v>
      </c>
      <c r="AI276" s="9" t="s">
        <v>67</v>
      </c>
    </row>
    <row r="277" spans="1:38" ht="14.25" customHeight="1" x14ac:dyDescent="0.25">
      <c r="A277" s="142">
        <v>1</v>
      </c>
      <c r="B277" s="151" t="s">
        <v>153</v>
      </c>
      <c r="C277" s="31">
        <f>[16]calculation!$P$36</f>
        <v>45849</v>
      </c>
      <c r="D277" s="2" t="str">
        <f>[16]calculation!$P$40</f>
        <v>1M each / 2M total</v>
      </c>
      <c r="E277" s="5">
        <f>[16]calculation!$P$41</f>
        <v>500</v>
      </c>
      <c r="F277" s="32">
        <f>[16]calculation!$P$42</f>
        <v>8380</v>
      </c>
      <c r="G277" s="2"/>
      <c r="H277" s="5">
        <f>[16]calculation!$P$43</f>
        <v>11475425</v>
      </c>
      <c r="I277" s="2" t="str">
        <f>[16]calculation!$P$44</f>
        <v>replacement cost</v>
      </c>
      <c r="J277" s="5">
        <f>[16]calculation!$P$45</f>
        <v>83.756112692504203</v>
      </c>
      <c r="K277" s="5">
        <f>[16]calculation!$P$46</f>
        <v>100000</v>
      </c>
      <c r="L277" s="35">
        <f>[16]calculation!$P$47</f>
        <v>0</v>
      </c>
      <c r="M277" s="2"/>
      <c r="N277" s="36" t="s">
        <v>142</v>
      </c>
      <c r="O277" s="5">
        <f>[16]calculation!$P$50</f>
        <v>150000</v>
      </c>
      <c r="P277" s="35">
        <f>[16]calculation!$P$51</f>
        <v>0.05</v>
      </c>
      <c r="Q277" s="2"/>
      <c r="R277" s="42" t="s">
        <v>145</v>
      </c>
      <c r="S277" s="5"/>
      <c r="T277" s="32">
        <f>[16]calculation!$P$52</f>
        <v>24900</v>
      </c>
      <c r="U277" s="2"/>
      <c r="V277" s="42" t="s">
        <v>145</v>
      </c>
      <c r="W277" s="5"/>
      <c r="X277" s="5"/>
      <c r="Y277" s="32"/>
      <c r="Z277" s="2"/>
      <c r="AA277" s="32"/>
      <c r="AB277" s="38">
        <f>[16]calculation!$P$63</f>
        <v>780.25</v>
      </c>
      <c r="AC277" s="6">
        <f>[16]calculation!$P$64</f>
        <v>9.4700000000000006E-2</v>
      </c>
      <c r="AD277" s="38">
        <f>AB277+AA277+Y277+T277+F277</f>
        <v>34060.25</v>
      </c>
      <c r="AE277" s="15" t="s">
        <v>149</v>
      </c>
      <c r="AF277" s="15" t="s">
        <v>149</v>
      </c>
      <c r="AG277" s="2"/>
      <c r="AH277" s="3" t="str">
        <f>[16]calculation!$P$37</f>
        <v xml:space="preserve">Damaris, Myriam, Ryan, Silvia </v>
      </c>
      <c r="AI277" s="39"/>
    </row>
    <row r="278" spans="1:38" ht="14.25" customHeight="1" x14ac:dyDescent="0.25">
      <c r="A278" s="142"/>
      <c r="B278" s="40"/>
      <c r="C278" s="41"/>
      <c r="D278" s="41"/>
      <c r="E278" s="41"/>
      <c r="F278" s="41"/>
      <c r="G278" s="41"/>
      <c r="H278" s="41"/>
      <c r="I278" s="41"/>
      <c r="J278" s="46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4"/>
      <c r="AJ278" s="41"/>
      <c r="AK278" s="41"/>
      <c r="AL278" s="41"/>
    </row>
    <row r="279" spans="1:38" ht="14.25" customHeight="1" x14ac:dyDescent="0.25">
      <c r="A279" s="142">
        <v>2</v>
      </c>
      <c r="B279" s="172" t="s">
        <v>185</v>
      </c>
      <c r="C279" s="31">
        <f>[17]calculation!$P$33</f>
        <v>46009</v>
      </c>
      <c r="D279" s="2" t="str">
        <f>[17]calculation!$P$37</f>
        <v>1M each / 2M total</v>
      </c>
      <c r="E279" s="5">
        <f>[17]calculation!$P$38</f>
        <v>500</v>
      </c>
      <c r="F279" s="32">
        <f>[17]calculation!$P$39</f>
        <v>0</v>
      </c>
      <c r="G279" s="2"/>
      <c r="H279" s="5">
        <f>[17]calculation!$P$40</f>
        <v>3000000</v>
      </c>
      <c r="I279" s="2" t="str">
        <f>[17]calculation!$P$41</f>
        <v>Actual cash value</v>
      </c>
      <c r="J279" s="5">
        <f>[17]calculation!$P$42</f>
        <v>30.903940252382178</v>
      </c>
      <c r="K279" s="5">
        <f>[17]calculation!$P$43</f>
        <v>10000</v>
      </c>
      <c r="L279" s="35">
        <f>[17]calculation!$P$44</f>
        <v>0</v>
      </c>
      <c r="M279" s="2"/>
      <c r="N279" s="36" t="s">
        <v>142</v>
      </c>
      <c r="O279" s="5">
        <f>[17]calculation!$P$47</f>
        <v>60000</v>
      </c>
      <c r="P279" s="35">
        <f>[17]calculation!$P$48</f>
        <v>0.02</v>
      </c>
      <c r="Q279" s="2"/>
      <c r="R279" s="42" t="s">
        <v>145</v>
      </c>
      <c r="S279" s="5"/>
      <c r="T279" s="32">
        <f>[17]calculation!$P$49</f>
        <v>30224.48</v>
      </c>
      <c r="U279" s="2"/>
      <c r="V279" s="42" t="s">
        <v>145</v>
      </c>
      <c r="W279" s="5"/>
      <c r="X279" s="5"/>
      <c r="Y279" s="32"/>
      <c r="Z279" s="2"/>
      <c r="AA279" s="32"/>
      <c r="AB279" s="38">
        <f>[17]calculation!$P$60</f>
        <v>1375.05</v>
      </c>
      <c r="AC279" s="6">
        <f>[17]calculation!$P$61</f>
        <v>0.12620000000000001</v>
      </c>
      <c r="AD279" s="38">
        <f>AB279+AA279+Y279+T279+F279</f>
        <v>31599.53</v>
      </c>
      <c r="AE279" s="15" t="s">
        <v>149</v>
      </c>
      <c r="AF279" s="15" t="s">
        <v>149</v>
      </c>
      <c r="AG279" s="2"/>
      <c r="AH279" s="3" t="str">
        <f>[17]calculation!$P$34</f>
        <v xml:space="preserve">Damaris, Myriam, Ryan, Silvia </v>
      </c>
      <c r="AI279" s="39"/>
    </row>
    <row r="280" spans="1:38" ht="14.25" customHeight="1" x14ac:dyDescent="0.25">
      <c r="A280" s="142"/>
      <c r="B280" s="40"/>
      <c r="C280" s="41"/>
      <c r="D280" s="41"/>
      <c r="E280" s="41"/>
      <c r="F280" s="41"/>
      <c r="G280" s="41"/>
      <c r="H280" s="41"/>
      <c r="I280" s="41"/>
      <c r="J280" s="46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4"/>
      <c r="AJ280" s="41"/>
      <c r="AK280" s="41"/>
      <c r="AL280" s="41"/>
    </row>
    <row r="281" spans="1:38" ht="14.25" customHeight="1" x14ac:dyDescent="0.25">
      <c r="A281" s="142">
        <v>3</v>
      </c>
      <c r="B281" s="19"/>
      <c r="C281" s="31"/>
      <c r="D281" s="2"/>
      <c r="E281" s="5"/>
      <c r="F281" s="38"/>
      <c r="G281" s="2"/>
      <c r="H281" s="5"/>
      <c r="I281" s="2"/>
      <c r="J281" s="12"/>
      <c r="K281" s="5"/>
      <c r="L281" s="35"/>
      <c r="M281" s="2"/>
      <c r="N281" s="2"/>
      <c r="O281" s="5"/>
      <c r="P281" s="35"/>
      <c r="Q281" s="2"/>
      <c r="R281" s="2"/>
      <c r="S281" s="5"/>
      <c r="T281" s="32"/>
      <c r="U281" s="2"/>
      <c r="V281" s="2"/>
      <c r="W281" s="5"/>
      <c r="X281" s="5"/>
      <c r="Y281" s="32"/>
      <c r="Z281" s="2"/>
      <c r="AA281" s="33"/>
      <c r="AB281" s="38"/>
      <c r="AC281" s="6"/>
      <c r="AD281" s="38"/>
      <c r="AE281" s="2"/>
      <c r="AF281" s="2"/>
      <c r="AG281" s="2"/>
      <c r="AH281" s="2"/>
      <c r="AI281" s="39"/>
    </row>
    <row r="282" spans="1:38" ht="14.25" customHeight="1" x14ac:dyDescent="0.25">
      <c r="A282" s="142"/>
      <c r="B282" s="40"/>
      <c r="C282" s="41"/>
      <c r="D282" s="41"/>
      <c r="E282" s="41"/>
      <c r="F282" s="41"/>
      <c r="G282" s="41"/>
      <c r="H282" s="41"/>
      <c r="I282" s="41"/>
      <c r="J282" s="46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4"/>
      <c r="AJ282" s="41"/>
      <c r="AK282" s="41"/>
      <c r="AL282" s="41"/>
    </row>
    <row r="283" spans="1:38" ht="14.25" customHeight="1" x14ac:dyDescent="0.25">
      <c r="A283" s="142">
        <v>4</v>
      </c>
      <c r="B283" s="19"/>
      <c r="C283" s="31"/>
      <c r="D283" s="2"/>
      <c r="E283" s="2"/>
      <c r="F283" s="32"/>
      <c r="G283" s="2"/>
      <c r="H283" s="5"/>
      <c r="I283" s="2"/>
      <c r="J283" s="12"/>
      <c r="K283" s="5"/>
      <c r="L283" s="35"/>
      <c r="M283" s="2"/>
      <c r="N283" s="2"/>
      <c r="O283" s="2"/>
      <c r="P283" s="2"/>
      <c r="Q283" s="2"/>
      <c r="R283" s="2"/>
      <c r="S283" s="5"/>
      <c r="T283" s="38"/>
      <c r="U283" s="2"/>
      <c r="V283" s="2"/>
      <c r="W283" s="2"/>
      <c r="X283" s="2"/>
      <c r="Y283" s="33"/>
      <c r="Z283" s="2"/>
      <c r="AA283" s="33"/>
      <c r="AB283" s="38"/>
      <c r="AC283" s="6"/>
      <c r="AD283" s="38"/>
      <c r="AE283" s="2"/>
      <c r="AF283" s="2"/>
      <c r="AG283" s="2"/>
      <c r="AH283" s="2"/>
      <c r="AI283" s="3"/>
    </row>
    <row r="284" spans="1:38" ht="14.25" customHeight="1" x14ac:dyDescent="0.25">
      <c r="A284" s="142"/>
      <c r="B284" s="40"/>
      <c r="C284" s="41"/>
      <c r="D284" s="41"/>
      <c r="E284" s="41"/>
      <c r="F284" s="41"/>
      <c r="G284" s="41"/>
      <c r="H284" s="41"/>
      <c r="I284" s="41"/>
      <c r="J284" s="46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4"/>
      <c r="AJ284" s="41"/>
      <c r="AK284" s="41"/>
      <c r="AL284" s="41"/>
    </row>
    <row r="285" spans="1:38" ht="14.25" customHeight="1" x14ac:dyDescent="0.25">
      <c r="A285" s="142">
        <v>5</v>
      </c>
      <c r="B285" s="19"/>
      <c r="C285" s="31"/>
      <c r="D285" s="2"/>
      <c r="E285" s="5"/>
      <c r="F285" s="32"/>
      <c r="G285" s="2"/>
      <c r="H285" s="5"/>
      <c r="I285" s="2"/>
      <c r="J285" s="4"/>
      <c r="K285" s="5"/>
      <c r="L285" s="35"/>
      <c r="M285" s="2"/>
      <c r="N285" s="2"/>
      <c r="O285" s="2"/>
      <c r="P285" s="2"/>
      <c r="Q285" s="2"/>
      <c r="R285" s="2"/>
      <c r="S285" s="2"/>
      <c r="T285" s="38"/>
      <c r="U285" s="2"/>
      <c r="V285" s="2"/>
      <c r="W285" s="2"/>
      <c r="X285" s="2"/>
      <c r="Y285" s="33"/>
      <c r="Z285" s="2"/>
      <c r="AA285" s="33"/>
      <c r="AB285" s="38"/>
      <c r="AC285" s="6"/>
      <c r="AD285" s="38"/>
      <c r="AE285" s="2"/>
      <c r="AF285" s="2"/>
      <c r="AG285" s="2"/>
      <c r="AH285" s="2"/>
      <c r="AI285" s="3"/>
    </row>
    <row r="286" spans="1:38" ht="14.25" customHeight="1" x14ac:dyDescent="0.25">
      <c r="A286" s="142"/>
      <c r="B286" s="40"/>
      <c r="C286" s="41"/>
      <c r="D286" s="41"/>
      <c r="E286" s="41"/>
      <c r="F286" s="41"/>
      <c r="G286" s="41"/>
      <c r="H286" s="41"/>
      <c r="I286" s="41"/>
      <c r="J286" s="46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4"/>
      <c r="AJ286" s="41"/>
      <c r="AK286" s="41"/>
      <c r="AL286" s="41"/>
    </row>
    <row r="287" spans="1:38" ht="14.25" customHeight="1" x14ac:dyDescent="0.25">
      <c r="A287" s="142">
        <v>6</v>
      </c>
      <c r="B287" s="19"/>
      <c r="C287" s="31"/>
      <c r="D287" s="2"/>
      <c r="E287" s="5"/>
      <c r="F287" s="32"/>
      <c r="G287" s="2"/>
      <c r="H287" s="5"/>
      <c r="I287" s="2"/>
      <c r="J287" s="4"/>
      <c r="K287" s="5"/>
      <c r="L287" s="35"/>
      <c r="M287" s="2"/>
      <c r="N287" s="2"/>
      <c r="O287" s="5"/>
      <c r="P287" s="35"/>
      <c r="Q287" s="2"/>
      <c r="R287" s="2"/>
      <c r="S287" s="2"/>
      <c r="T287" s="38"/>
      <c r="U287" s="2"/>
      <c r="V287" s="2"/>
      <c r="W287" s="2"/>
      <c r="X287" s="2"/>
      <c r="Y287" s="33"/>
      <c r="Z287" s="2"/>
      <c r="AA287" s="33"/>
      <c r="AB287" s="38"/>
      <c r="AC287" s="6"/>
      <c r="AD287" s="38"/>
      <c r="AE287" s="2"/>
      <c r="AF287" s="2"/>
      <c r="AG287" s="2"/>
      <c r="AH287" s="2"/>
      <c r="AI287" s="39"/>
    </row>
    <row r="288" spans="1:38" ht="14.25" customHeight="1" x14ac:dyDescent="0.25">
      <c r="A288" s="142"/>
      <c r="B288" s="40"/>
      <c r="C288" s="41"/>
      <c r="D288" s="41"/>
      <c r="E288" s="41"/>
      <c r="F288" s="41"/>
      <c r="G288" s="41"/>
      <c r="H288" s="41"/>
      <c r="I288" s="41"/>
      <c r="J288" s="46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4"/>
      <c r="AJ288" s="41"/>
      <c r="AK288" s="41"/>
      <c r="AL288" s="41"/>
    </row>
    <row r="289" spans="1:38" ht="14.25" customHeight="1" x14ac:dyDescent="0.25">
      <c r="A289" s="142">
        <v>7</v>
      </c>
      <c r="B289" s="19"/>
      <c r="C289" s="31"/>
      <c r="D289" s="2"/>
      <c r="E289" s="5"/>
      <c r="F289" s="38"/>
      <c r="G289" s="2"/>
      <c r="H289" s="5"/>
      <c r="I289" s="2"/>
      <c r="J289" s="4"/>
      <c r="K289" s="5"/>
      <c r="L289" s="35"/>
      <c r="M289" s="2"/>
      <c r="N289" s="2"/>
      <c r="O289" s="2"/>
      <c r="P289" s="2"/>
      <c r="Q289" s="2"/>
      <c r="R289" s="2"/>
      <c r="S289" s="5"/>
      <c r="T289" s="38"/>
      <c r="U289" s="2"/>
      <c r="V289" s="2"/>
      <c r="W289" s="2"/>
      <c r="X289" s="2"/>
      <c r="Y289" s="33"/>
      <c r="Z289" s="2"/>
      <c r="AA289" s="33"/>
      <c r="AB289" s="38"/>
      <c r="AC289" s="6"/>
      <c r="AD289" s="38"/>
      <c r="AE289" s="2"/>
      <c r="AF289" s="2"/>
      <c r="AG289" s="2"/>
      <c r="AH289" s="2"/>
      <c r="AI289" s="39"/>
    </row>
    <row r="290" spans="1:38" ht="14.25" customHeight="1" x14ac:dyDescent="0.25">
      <c r="A290" s="142"/>
      <c r="B290" s="40"/>
      <c r="C290" s="41"/>
      <c r="D290" s="41"/>
      <c r="E290" s="41"/>
      <c r="F290" s="41"/>
      <c r="G290" s="41"/>
      <c r="H290" s="41"/>
      <c r="I290" s="41"/>
      <c r="J290" s="47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4"/>
      <c r="AJ290" s="41"/>
      <c r="AK290" s="41"/>
      <c r="AL290" s="41"/>
    </row>
    <row r="291" spans="1:38" ht="14.25" customHeight="1" x14ac:dyDescent="0.25">
      <c r="A291" s="142">
        <v>8</v>
      </c>
      <c r="B291" s="3"/>
      <c r="C291" s="31"/>
      <c r="D291" s="2"/>
      <c r="E291" s="5"/>
      <c r="F291" s="38"/>
      <c r="G291" s="2"/>
      <c r="H291" s="5"/>
      <c r="I291" s="2"/>
      <c r="J291" s="12"/>
      <c r="K291" s="5"/>
      <c r="L291" s="35"/>
      <c r="M291" s="2"/>
      <c r="N291" s="2"/>
      <c r="O291" s="2"/>
      <c r="P291" s="2"/>
      <c r="Q291" s="2"/>
      <c r="R291" s="2"/>
      <c r="S291" s="5"/>
      <c r="T291" s="38"/>
      <c r="U291" s="2"/>
      <c r="V291" s="2"/>
      <c r="W291" s="2"/>
      <c r="X291" s="2"/>
      <c r="Y291" s="33"/>
      <c r="Z291" s="2"/>
      <c r="AA291" s="33"/>
      <c r="AB291" s="38"/>
      <c r="AC291" s="6"/>
      <c r="AD291" s="38"/>
      <c r="AE291" s="2"/>
      <c r="AF291" s="2"/>
      <c r="AG291" s="2"/>
      <c r="AH291" s="2"/>
      <c r="AI291" s="3"/>
    </row>
    <row r="292" spans="1:38" ht="14.25" customHeight="1" x14ac:dyDescent="0.25">
      <c r="A292" s="142"/>
      <c r="B292" s="40"/>
      <c r="C292" s="41"/>
      <c r="D292" s="41"/>
      <c r="E292" s="41"/>
      <c r="F292" s="41"/>
      <c r="G292" s="41"/>
      <c r="H292" s="41"/>
      <c r="I292" s="41"/>
      <c r="J292" s="47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4"/>
      <c r="AJ292" s="41"/>
      <c r="AK292" s="41"/>
      <c r="AL292" s="41"/>
    </row>
    <row r="293" spans="1:38" ht="14.25" customHeight="1" x14ac:dyDescent="0.25">
      <c r="A293" s="142">
        <v>9</v>
      </c>
      <c r="B293" s="19"/>
      <c r="C293" s="31"/>
      <c r="D293" s="2"/>
      <c r="E293" s="5"/>
      <c r="F293" s="38"/>
      <c r="G293" s="2"/>
      <c r="H293" s="5"/>
      <c r="I293" s="2"/>
      <c r="J293" s="12"/>
      <c r="K293" s="5"/>
      <c r="L293" s="35"/>
      <c r="M293" s="2"/>
      <c r="N293" s="2"/>
      <c r="O293" s="2"/>
      <c r="P293" s="2"/>
      <c r="Q293" s="2"/>
      <c r="R293" s="2"/>
      <c r="S293" s="5"/>
      <c r="T293" s="32"/>
      <c r="U293" s="2"/>
      <c r="V293" s="2"/>
      <c r="W293" s="2"/>
      <c r="X293" s="2"/>
      <c r="Y293" s="33"/>
      <c r="Z293" s="2"/>
      <c r="AA293" s="33"/>
      <c r="AB293" s="38"/>
      <c r="AC293" s="6"/>
      <c r="AD293" s="38"/>
      <c r="AE293" s="2"/>
      <c r="AF293" s="2"/>
      <c r="AG293" s="2"/>
      <c r="AH293" s="2"/>
      <c r="AI293" s="39"/>
    </row>
    <row r="294" spans="1:38" ht="14.25" customHeight="1" x14ac:dyDescent="0.25">
      <c r="A294" s="142"/>
      <c r="B294" s="40"/>
      <c r="C294" s="41"/>
      <c r="D294" s="41"/>
      <c r="E294" s="41"/>
      <c r="F294" s="41"/>
      <c r="G294" s="41"/>
      <c r="H294" s="41"/>
      <c r="I294" s="41"/>
      <c r="J294" s="47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4"/>
      <c r="AJ294" s="41"/>
      <c r="AK294" s="41"/>
      <c r="AL294" s="41"/>
    </row>
    <row r="295" spans="1:38" ht="14.25" customHeight="1" thickBot="1" x14ac:dyDescent="0.3">
      <c r="A295" s="142">
        <v>10</v>
      </c>
      <c r="B295" s="198" t="s">
        <v>200</v>
      </c>
      <c r="C295" s="84">
        <f>[18]calculation!$P$21</f>
        <v>45962</v>
      </c>
      <c r="D295" s="85" t="str">
        <f>[18]calculation!$P$25</f>
        <v>1M each / 2M total</v>
      </c>
      <c r="E295" s="28">
        <f>[18]calculation!$P$26</f>
        <v>0</v>
      </c>
      <c r="F295" s="86">
        <f>[18]calculation!$P$27</f>
        <v>1160.7</v>
      </c>
      <c r="G295" s="85"/>
      <c r="H295" s="28">
        <f>[18]calculation!$P$28</f>
        <v>0</v>
      </c>
      <c r="I295" s="85"/>
      <c r="J295" s="27"/>
      <c r="K295" s="28"/>
      <c r="L295" s="87"/>
      <c r="M295" s="85"/>
      <c r="N295" s="89" t="s">
        <v>145</v>
      </c>
      <c r="O295" s="85"/>
      <c r="P295" s="85"/>
      <c r="Q295" s="85"/>
      <c r="R295" s="89" t="s">
        <v>145</v>
      </c>
      <c r="S295" s="28"/>
      <c r="T295" s="90"/>
      <c r="U295" s="85"/>
      <c r="V295" s="89" t="s">
        <v>145</v>
      </c>
      <c r="W295" s="85"/>
      <c r="X295" s="85"/>
      <c r="Y295" s="158"/>
      <c r="Z295" s="85"/>
      <c r="AA295" s="158"/>
      <c r="AB295" s="90">
        <f>[18]calculation!$P$48</f>
        <v>0</v>
      </c>
      <c r="AC295" s="91">
        <f>[18]calculation!$P$49</f>
        <v>0</v>
      </c>
      <c r="AD295" s="90">
        <f>AB295+AA295+Y295+T295+F295</f>
        <v>1160.7</v>
      </c>
      <c r="AE295" s="85"/>
      <c r="AF295" s="85"/>
      <c r="AG295" s="85"/>
      <c r="AH295" s="152" t="str">
        <f>[18]calculation!$P$23</f>
        <v>Miami Insurance Brokers</v>
      </c>
      <c r="AI295" s="152"/>
      <c r="AJ295" s="92"/>
      <c r="AK295" s="92"/>
      <c r="AL295" s="92"/>
    </row>
    <row r="296" spans="1:38" ht="14.25" customHeight="1" thickTop="1" x14ac:dyDescent="0.25">
      <c r="B296" s="14" t="s">
        <v>8</v>
      </c>
      <c r="C296" s="15"/>
      <c r="D296" s="15"/>
      <c r="E296" s="15"/>
      <c r="F296" s="34">
        <f>SUM(F277:F295)</f>
        <v>9540.7000000000007</v>
      </c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34">
        <f>SUM(T277:T295)</f>
        <v>55124.479999999996</v>
      </c>
      <c r="U296" s="15"/>
      <c r="V296" s="15"/>
      <c r="W296" s="15"/>
      <c r="X296" s="15"/>
      <c r="Y296" s="34">
        <f>SUM(Y277:Y295)</f>
        <v>0</v>
      </c>
      <c r="Z296" s="15"/>
      <c r="AA296" s="34">
        <f>SUM(AA277:AA295)</f>
        <v>0</v>
      </c>
      <c r="AB296" s="34">
        <f>SUM(AB277:AB295)</f>
        <v>2155.3000000000002</v>
      </c>
      <c r="AC296" s="16">
        <f>AVERAGE(AC277:AC295)</f>
        <v>7.3633333333333342E-2</v>
      </c>
      <c r="AD296" s="37">
        <f>SUM(AD277:AD295)</f>
        <v>66820.479999999996</v>
      </c>
      <c r="AE296" s="15"/>
      <c r="AF296" s="15"/>
      <c r="AG296" s="15"/>
      <c r="AH296" s="15"/>
      <c r="AI296" s="15"/>
      <c r="AJ296" s="15"/>
      <c r="AK296" s="15"/>
      <c r="AL296" s="15"/>
    </row>
    <row r="297" spans="1:38" ht="14.25" customHeight="1" x14ac:dyDescent="0.25">
      <c r="AC297" s="8" t="s">
        <v>9</v>
      </c>
    </row>
    <row r="298" spans="1:38" ht="14.25" customHeight="1" x14ac:dyDescent="0.25">
      <c r="AC298" s="8"/>
    </row>
    <row r="299" spans="1:38" ht="14.25" customHeight="1" x14ac:dyDescent="0.25"/>
    <row r="300" spans="1:38" ht="14.25" customHeight="1" x14ac:dyDescent="0.25"/>
    <row r="301" spans="1:38" ht="49.8" customHeight="1" x14ac:dyDescent="0.25">
      <c r="A301" s="9"/>
      <c r="B301" s="10" t="s">
        <v>148</v>
      </c>
      <c r="C301" s="9" t="s">
        <v>42</v>
      </c>
      <c r="D301" s="9" t="s">
        <v>43</v>
      </c>
      <c r="E301" s="9" t="s">
        <v>44</v>
      </c>
      <c r="F301" s="9" t="s">
        <v>65</v>
      </c>
      <c r="H301" s="9" t="s">
        <v>45</v>
      </c>
      <c r="I301" s="9" t="s">
        <v>46</v>
      </c>
      <c r="J301" s="9" t="s">
        <v>47</v>
      </c>
      <c r="K301" s="9" t="s">
        <v>48</v>
      </c>
      <c r="L301" s="9" t="s">
        <v>49</v>
      </c>
      <c r="N301" s="9" t="s">
        <v>50</v>
      </c>
      <c r="O301" s="9" t="s">
        <v>51</v>
      </c>
      <c r="P301" s="9" t="s">
        <v>52</v>
      </c>
      <c r="Q301" s="9"/>
      <c r="R301" s="9" t="s">
        <v>53</v>
      </c>
      <c r="S301" s="9" t="s">
        <v>54</v>
      </c>
      <c r="T301" s="9" t="s">
        <v>64</v>
      </c>
      <c r="V301" s="9" t="s">
        <v>55</v>
      </c>
      <c r="W301" s="9" t="s">
        <v>56</v>
      </c>
      <c r="X301" s="9" t="s">
        <v>57</v>
      </c>
      <c r="Y301" s="9" t="s">
        <v>63</v>
      </c>
      <c r="AA301" s="9" t="s">
        <v>58</v>
      </c>
      <c r="AB301" s="9" t="s">
        <v>59</v>
      </c>
      <c r="AC301" s="9" t="s">
        <v>60</v>
      </c>
      <c r="AD301" s="9" t="s">
        <v>68</v>
      </c>
      <c r="AE301" s="9" t="s">
        <v>61</v>
      </c>
      <c r="AF301" s="9" t="s">
        <v>62</v>
      </c>
      <c r="AG301" s="9"/>
      <c r="AH301" s="9" t="s">
        <v>66</v>
      </c>
      <c r="AI301" s="9" t="s">
        <v>67</v>
      </c>
    </row>
    <row r="302" spans="1:38" ht="14.25" customHeight="1" x14ac:dyDescent="0.25">
      <c r="A302" s="142">
        <v>1</v>
      </c>
      <c r="B302" s="151" t="s">
        <v>155</v>
      </c>
      <c r="C302" s="31">
        <f>[19]calculation!$P$24</f>
        <v>45992</v>
      </c>
      <c r="D302" s="2" t="str">
        <f>[19]calculation!$P$28</f>
        <v>1M each / 2M total</v>
      </c>
      <c r="E302" s="5">
        <f>[19]calculation!$P$29</f>
        <v>500</v>
      </c>
      <c r="F302" s="32">
        <f>[19]calculation!$P$30</f>
        <v>0</v>
      </c>
      <c r="G302" s="2"/>
      <c r="H302" s="5">
        <f>[19]calculation!$P$31</f>
        <v>825000</v>
      </c>
      <c r="I302" s="2" t="str">
        <f>[19]calculation!$P$32</f>
        <v>Actual cash value</v>
      </c>
      <c r="J302" s="5">
        <f>[19]calculation!$P$33</f>
        <v>123.91108440973265</v>
      </c>
      <c r="K302" s="5">
        <f>[19]calculation!$P$34</f>
        <v>2500</v>
      </c>
      <c r="L302" s="35">
        <f>[19]calculation!$P$35</f>
        <v>0.8</v>
      </c>
      <c r="M302" s="2"/>
      <c r="N302" s="42" t="s">
        <v>145</v>
      </c>
      <c r="O302" s="5"/>
      <c r="P302" s="35"/>
      <c r="Q302" s="2"/>
      <c r="R302" s="42" t="s">
        <v>145</v>
      </c>
      <c r="S302" s="5"/>
      <c r="T302" s="32">
        <f>[19]calculation!$P$40</f>
        <v>4504.6499999999996</v>
      </c>
      <c r="U302" s="2"/>
      <c r="V302" s="42" t="s">
        <v>145</v>
      </c>
      <c r="W302" s="5"/>
      <c r="X302" s="5"/>
      <c r="Y302" s="32"/>
      <c r="Z302" s="2"/>
      <c r="AA302" s="32"/>
      <c r="AB302" s="38">
        <f>[19]calculation!$P$51</f>
        <v>247</v>
      </c>
      <c r="AC302" s="6">
        <f>[19]calculation!$P$52</f>
        <v>0.18140000000000001</v>
      </c>
      <c r="AD302" s="38">
        <f>AB302+AA302+Y302+T302+F302</f>
        <v>4751.6499999999996</v>
      </c>
      <c r="AE302" s="15" t="s">
        <v>149</v>
      </c>
      <c r="AF302" s="15" t="s">
        <v>149</v>
      </c>
      <c r="AG302" s="2"/>
      <c r="AH302" s="2" t="str">
        <f>[19]calculation!$P$26</f>
        <v>Jone</v>
      </c>
      <c r="AI302" s="39"/>
    </row>
    <row r="303" spans="1:38" ht="14.25" customHeight="1" x14ac:dyDescent="0.25">
      <c r="A303" s="142"/>
      <c r="B303" s="40"/>
      <c r="C303" s="41"/>
      <c r="D303" s="41"/>
      <c r="E303" s="41"/>
      <c r="F303" s="41"/>
      <c r="G303" s="41"/>
      <c r="H303" s="41"/>
      <c r="I303" s="41"/>
      <c r="J303" s="46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4"/>
      <c r="AJ303" s="41"/>
      <c r="AK303" s="41"/>
      <c r="AL303" s="41"/>
    </row>
    <row r="304" spans="1:38" ht="14.25" customHeight="1" x14ac:dyDescent="0.25">
      <c r="A304" s="142">
        <v>2</v>
      </c>
      <c r="B304" s="151" t="s">
        <v>156</v>
      </c>
      <c r="C304" s="31">
        <f>[20]calculation!$P$27</f>
        <v>45688</v>
      </c>
      <c r="D304" s="2" t="str">
        <f>[20]calculation!$P$31</f>
        <v>1M each / 2M total</v>
      </c>
      <c r="E304" s="5" t="str">
        <f>[20]calculation!$P$32</f>
        <v>?</v>
      </c>
      <c r="F304" s="32">
        <f>[20]calculation!$P$33</f>
        <v>2599.8000000000002</v>
      </c>
      <c r="G304" s="2"/>
      <c r="H304" s="5">
        <f>[20]calculation!$P$34</f>
        <v>3285441</v>
      </c>
      <c r="I304" s="2" t="str">
        <f>[20]calculation!$P$35</f>
        <v>replacement cost</v>
      </c>
      <c r="J304" s="5">
        <f>[20]calculation!$P$36</f>
        <v>136.89337499999999</v>
      </c>
      <c r="K304" s="5">
        <f>[20]calculation!$P$37</f>
        <v>10000</v>
      </c>
      <c r="L304" s="35">
        <f>[20]calculation!$P$38</f>
        <v>0</v>
      </c>
      <c r="M304" s="2"/>
      <c r="N304" s="173" t="s">
        <v>151</v>
      </c>
      <c r="O304" s="5"/>
      <c r="P304" s="35"/>
      <c r="Q304" s="2"/>
      <c r="R304" s="36" t="s">
        <v>142</v>
      </c>
      <c r="S304" s="5">
        <f>[20]calculation!$P$46</f>
        <v>225000</v>
      </c>
      <c r="T304" s="32">
        <f>[20]calculation!$P$43</f>
        <v>7912.9</v>
      </c>
      <c r="U304" s="2"/>
      <c r="V304" s="36" t="s">
        <v>142</v>
      </c>
      <c r="W304" s="5">
        <f>[20]calculation!$P$50</f>
        <v>500000</v>
      </c>
      <c r="X304" s="5">
        <f>[20]calculation!$P$49</f>
        <v>50000</v>
      </c>
      <c r="Y304" s="32">
        <f>[20]calculation!$P$51</f>
        <v>2859</v>
      </c>
      <c r="Z304" s="2"/>
      <c r="AA304" s="32"/>
      <c r="AB304" s="38">
        <f>[20]calculation!$P$54</f>
        <v>346.02</v>
      </c>
      <c r="AC304" s="6">
        <f>[20]calculation!$P$55</f>
        <v>0.16700000000000001</v>
      </c>
      <c r="AD304" s="38">
        <f>AB304+AA304+Y304+T304+F304</f>
        <v>13717.720000000001</v>
      </c>
      <c r="AE304" s="42" t="s">
        <v>150</v>
      </c>
      <c r="AF304" s="15" t="s">
        <v>149</v>
      </c>
      <c r="AG304" s="2"/>
      <c r="AH304" s="2" t="str">
        <f>[20]calculation!$P$28</f>
        <v>Jone</v>
      </c>
      <c r="AI304" s="45"/>
    </row>
    <row r="305" spans="1:38" ht="14.25" customHeight="1" x14ac:dyDescent="0.25">
      <c r="A305" s="142"/>
      <c r="B305" s="40"/>
      <c r="C305" s="41"/>
      <c r="D305" s="41"/>
      <c r="E305" s="41"/>
      <c r="F305" s="41"/>
      <c r="G305" s="41"/>
      <c r="H305" s="41"/>
      <c r="I305" s="41"/>
      <c r="J305" s="46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4"/>
      <c r="AJ305" s="41"/>
      <c r="AK305" s="41"/>
      <c r="AL305" s="41"/>
    </row>
    <row r="306" spans="1:38" ht="14.25" customHeight="1" thickBot="1" x14ac:dyDescent="0.3">
      <c r="A306" s="142">
        <v>3</v>
      </c>
      <c r="B306" s="155" t="s">
        <v>157</v>
      </c>
      <c r="C306" s="84">
        <f>[21]calculation!$P$25</f>
        <v>45684</v>
      </c>
      <c r="D306" s="85" t="str">
        <f>[21]calculation!$P$29</f>
        <v>1M each / 2M total</v>
      </c>
      <c r="E306" s="28" t="str">
        <f>[21]calculation!$P$30</f>
        <v>?</v>
      </c>
      <c r="F306" s="86">
        <f>[21]calculation!$P$31</f>
        <v>1456.2</v>
      </c>
      <c r="G306" s="85"/>
      <c r="H306" s="28">
        <f>[21]calculation!$P$32</f>
        <v>1263750</v>
      </c>
      <c r="I306" s="85" t="str">
        <f>[21]calculation!$P$33</f>
        <v>replacement cost</v>
      </c>
      <c r="J306" s="28">
        <f>[21]calculation!$P$34</f>
        <v>123.89705882352941</v>
      </c>
      <c r="K306" s="28">
        <f>[21]calculation!$P$35</f>
        <v>2500</v>
      </c>
      <c r="L306" s="87">
        <f>[21]calculation!$P$36</f>
        <v>0.8</v>
      </c>
      <c r="M306" s="85"/>
      <c r="N306" s="89" t="s">
        <v>145</v>
      </c>
      <c r="O306" s="28"/>
      <c r="P306" s="87"/>
      <c r="Q306" s="85"/>
      <c r="R306" s="89" t="s">
        <v>145</v>
      </c>
      <c r="S306" s="28"/>
      <c r="T306" s="86">
        <f>[21]calculation!$P$41</f>
        <v>4403.55</v>
      </c>
      <c r="U306" s="85"/>
      <c r="V306" s="89" t="s">
        <v>145</v>
      </c>
      <c r="W306" s="28"/>
      <c r="X306" s="28"/>
      <c r="Y306" s="86"/>
      <c r="Z306" s="85"/>
      <c r="AA306" s="86"/>
      <c r="AB306" s="90">
        <f>[21]calculation!$P$52</f>
        <v>288.14</v>
      </c>
      <c r="AC306" s="91">
        <f>[21]calculation!$P$53</f>
        <v>0.17910000000000001</v>
      </c>
      <c r="AD306" s="90">
        <f>AB306+AA306+Y306+T306+F306</f>
        <v>6147.89</v>
      </c>
      <c r="AE306" s="89" t="s">
        <v>150</v>
      </c>
      <c r="AF306" s="137" t="s">
        <v>149</v>
      </c>
      <c r="AG306" s="85"/>
      <c r="AH306" s="85" t="str">
        <f>[21]calculation!$P$26</f>
        <v>Jone</v>
      </c>
      <c r="AI306" s="159"/>
      <c r="AJ306" s="92"/>
      <c r="AK306" s="92"/>
      <c r="AL306" s="92"/>
    </row>
    <row r="307" spans="1:38" ht="14.25" customHeight="1" thickTop="1" x14ac:dyDescent="0.25">
      <c r="B307" s="14" t="s">
        <v>8</v>
      </c>
      <c r="C307" s="15"/>
      <c r="D307" s="15"/>
      <c r="E307" s="15"/>
      <c r="F307" s="34">
        <f>SUM(F302:F306)</f>
        <v>4056</v>
      </c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34">
        <f>SUM(T302:T306)</f>
        <v>16821.099999999999</v>
      </c>
      <c r="U307" s="15"/>
      <c r="V307" s="15"/>
      <c r="W307" s="15"/>
      <c r="X307" s="15"/>
      <c r="Y307" s="34">
        <f>SUM(Y302:Y306)</f>
        <v>2859</v>
      </c>
      <c r="Z307" s="15"/>
      <c r="AA307" s="34">
        <f>SUM(AA278:AA306)</f>
        <v>0</v>
      </c>
      <c r="AB307" s="34">
        <f>SUM(AB302:AB306)</f>
        <v>881.16</v>
      </c>
      <c r="AC307" s="16">
        <f>AVERAGE(AC302:AC306)</f>
        <v>0.17583333333333337</v>
      </c>
      <c r="AD307" s="37">
        <f>SUM(AD302:AD306)</f>
        <v>24617.260000000002</v>
      </c>
      <c r="AE307" s="15"/>
      <c r="AF307" s="15"/>
      <c r="AG307" s="15"/>
      <c r="AH307" s="15"/>
      <c r="AI307" s="15"/>
      <c r="AJ307" s="15"/>
      <c r="AK307" s="15"/>
      <c r="AL307" s="15"/>
    </row>
    <row r="308" spans="1:38" ht="14.25" customHeight="1" x14ac:dyDescent="0.25">
      <c r="AC308" s="8" t="s">
        <v>9</v>
      </c>
    </row>
    <row r="309" spans="1:38" ht="14.25" customHeight="1" x14ac:dyDescent="0.25">
      <c r="AC309" s="8"/>
    </row>
    <row r="310" spans="1:38" ht="14.25" customHeight="1" x14ac:dyDescent="0.25"/>
    <row r="311" spans="1:38" ht="14.25" customHeight="1" x14ac:dyDescent="0.25"/>
    <row r="312" spans="1:38" ht="49.8" customHeight="1" x14ac:dyDescent="0.25">
      <c r="A312" s="9"/>
      <c r="B312" s="10" t="s">
        <v>152</v>
      </c>
      <c r="C312" s="9" t="s">
        <v>42</v>
      </c>
      <c r="D312" s="9" t="s">
        <v>43</v>
      </c>
      <c r="E312" s="9" t="s">
        <v>44</v>
      </c>
      <c r="F312" s="9" t="s">
        <v>65</v>
      </c>
      <c r="H312" s="9" t="s">
        <v>45</v>
      </c>
      <c r="I312" s="9" t="s">
        <v>46</v>
      </c>
      <c r="J312" s="9" t="s">
        <v>47</v>
      </c>
      <c r="K312" s="9" t="s">
        <v>48</v>
      </c>
      <c r="L312" s="9" t="s">
        <v>49</v>
      </c>
      <c r="N312" s="9" t="s">
        <v>50</v>
      </c>
      <c r="O312" s="9" t="s">
        <v>51</v>
      </c>
      <c r="P312" s="9" t="s">
        <v>52</v>
      </c>
      <c r="Q312" s="9"/>
      <c r="R312" s="9" t="s">
        <v>53</v>
      </c>
      <c r="S312" s="9" t="s">
        <v>54</v>
      </c>
      <c r="T312" s="9" t="s">
        <v>64</v>
      </c>
      <c r="V312" s="9" t="s">
        <v>55</v>
      </c>
      <c r="W312" s="9" t="s">
        <v>56</v>
      </c>
      <c r="X312" s="9" t="s">
        <v>57</v>
      </c>
      <c r="Y312" s="9" t="s">
        <v>63</v>
      </c>
      <c r="AA312" s="9" t="s">
        <v>58</v>
      </c>
      <c r="AB312" s="9" t="s">
        <v>59</v>
      </c>
      <c r="AC312" s="9" t="s">
        <v>60</v>
      </c>
      <c r="AD312" s="9" t="s">
        <v>68</v>
      </c>
      <c r="AE312" s="9" t="s">
        <v>61</v>
      </c>
      <c r="AF312" s="9" t="s">
        <v>62</v>
      </c>
      <c r="AG312" s="9"/>
      <c r="AH312" s="9" t="s">
        <v>66</v>
      </c>
      <c r="AI312" s="9" t="s">
        <v>67</v>
      </c>
    </row>
    <row r="313" spans="1:38" ht="14.25" customHeight="1" x14ac:dyDescent="0.25">
      <c r="A313" s="142">
        <v>1</v>
      </c>
      <c r="B313" s="19" t="s">
        <v>158</v>
      </c>
      <c r="C313" s="31">
        <f>[22]calculation!$P$20</f>
        <v>45696</v>
      </c>
      <c r="D313" s="5">
        <f>[22]calculation!$P$24</f>
        <v>100000</v>
      </c>
      <c r="E313" s="5">
        <f>[22]calculation!$P$25</f>
        <v>2500</v>
      </c>
      <c r="F313" s="32">
        <f>[22]calculation!$P$26</f>
        <v>0</v>
      </c>
      <c r="G313" s="2"/>
      <c r="H313" s="5">
        <f>[22]calculation!$P$27</f>
        <v>381600</v>
      </c>
      <c r="I313" s="2" t="str">
        <f>[22]calculation!$P$28</f>
        <v>replacement cost</v>
      </c>
      <c r="J313" s="5">
        <f>[22]calculation!$P$29</f>
        <v>174.72527472527472</v>
      </c>
      <c r="K313" s="5">
        <f>[22]calculation!$P$30</f>
        <v>2500</v>
      </c>
      <c r="L313" s="35">
        <f>[22]calculation!$P$31</f>
        <v>0</v>
      </c>
      <c r="M313" s="2"/>
      <c r="N313" s="36" t="s">
        <v>142</v>
      </c>
      <c r="O313" s="5">
        <f>[22]calculation!$P$34</f>
        <v>19080</v>
      </c>
      <c r="P313" s="35">
        <f>[22]calculation!$P$35</f>
        <v>0.05</v>
      </c>
      <c r="Q313" s="2"/>
      <c r="R313" s="42" t="s">
        <v>145</v>
      </c>
      <c r="S313" s="5"/>
      <c r="T313" s="32">
        <f>[22]calculation!$P$36</f>
        <v>2485</v>
      </c>
      <c r="U313" s="2"/>
      <c r="V313" s="42" t="s">
        <v>145</v>
      </c>
      <c r="W313" s="5"/>
      <c r="X313" s="5"/>
      <c r="Y313" s="32"/>
      <c r="Z313" s="2"/>
      <c r="AA313" s="32">
        <f>[22]calculation!$P$46</f>
        <v>8.51</v>
      </c>
      <c r="AB313" s="38">
        <f>[22]calculation!$P$46</f>
        <v>8.51</v>
      </c>
      <c r="AC313" s="6">
        <f>[22]calculation!$P$48</f>
        <v>0</v>
      </c>
      <c r="AD313" s="38">
        <f>AB313+AA313+Y313+T313+F313</f>
        <v>2502.02</v>
      </c>
      <c r="AE313" s="15" t="s">
        <v>149</v>
      </c>
      <c r="AF313" s="15" t="s">
        <v>149</v>
      </c>
      <c r="AG313" s="2"/>
      <c r="AH313" s="2" t="str">
        <f>[22]calculation!$P$22</f>
        <v>Issah</v>
      </c>
      <c r="AI313" s="39"/>
    </row>
    <row r="314" spans="1:38" ht="14.25" customHeight="1" x14ac:dyDescent="0.25">
      <c r="A314" s="142"/>
      <c r="B314" s="40"/>
      <c r="C314" s="41"/>
      <c r="D314" s="41"/>
      <c r="E314" s="41"/>
      <c r="F314" s="41"/>
      <c r="G314" s="41"/>
      <c r="H314" s="41"/>
      <c r="I314" s="41"/>
      <c r="J314" s="46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4"/>
      <c r="AJ314" s="41"/>
      <c r="AK314" s="41"/>
      <c r="AL314" s="41"/>
    </row>
    <row r="315" spans="1:38" ht="14.25" customHeight="1" x14ac:dyDescent="0.25">
      <c r="A315" s="142">
        <v>2</v>
      </c>
      <c r="B315" t="s">
        <v>159</v>
      </c>
      <c r="C315" s="31">
        <f>[23]calculation!$P$20</f>
        <v>45801</v>
      </c>
      <c r="D315" s="2" t="str">
        <f>[23]calculation!$P$24</f>
        <v>1M each / 2M total</v>
      </c>
      <c r="E315" s="5">
        <f>[23]calculation!$P$25</f>
        <v>0</v>
      </c>
      <c r="F315" s="32">
        <f>[23]calculation!$P$26</f>
        <v>0</v>
      </c>
      <c r="G315" s="2"/>
      <c r="H315" s="5">
        <f>[23]calculation!$P$27</f>
        <v>59760</v>
      </c>
      <c r="I315" s="5">
        <f>[23]calculation!$P$27</f>
        <v>59760</v>
      </c>
      <c r="J315" s="5">
        <f>[23]calculation!$P$29</f>
        <v>60</v>
      </c>
      <c r="K315" s="5">
        <f>[23]calculation!$P$30</f>
        <v>10000</v>
      </c>
      <c r="L315" s="35">
        <f>[23]calculation!$P$31</f>
        <v>0</v>
      </c>
      <c r="M315" s="2"/>
      <c r="N315" s="36" t="s">
        <v>142</v>
      </c>
      <c r="O315" s="5">
        <f>[23]calculation!$P$34</f>
        <v>10000</v>
      </c>
      <c r="P315" s="35">
        <f>[23]calculation!$P$35</f>
        <v>0.16733601070950468</v>
      </c>
      <c r="Q315" s="2"/>
      <c r="R315" s="42" t="s">
        <v>145</v>
      </c>
      <c r="S315" s="5"/>
      <c r="T315" s="32">
        <f>[23]calculation!$P$36</f>
        <v>1391.25</v>
      </c>
      <c r="U315" s="2"/>
      <c r="V315" s="36" t="s">
        <v>142</v>
      </c>
      <c r="W315" s="5">
        <f>[23]calculation!$P$42</f>
        <v>5000</v>
      </c>
      <c r="X315" s="5">
        <f>[23]calculation!$P$43</f>
        <v>250000</v>
      </c>
      <c r="Y315" s="32">
        <f>[23]calculation!$P$44</f>
        <v>797</v>
      </c>
      <c r="Z315" s="2"/>
      <c r="AA315" s="32">
        <f>[23]calculation!$P$46</f>
        <v>0</v>
      </c>
      <c r="AB315" s="38">
        <f>[23]calculation!$P$47</f>
        <v>0</v>
      </c>
      <c r="AC315" s="6">
        <f>[23]calculation!$P$48</f>
        <v>0</v>
      </c>
      <c r="AD315" s="38">
        <f>AB315+AA315+Y315+T315+F315</f>
        <v>2188.25</v>
      </c>
      <c r="AE315" s="15" t="s">
        <v>149</v>
      </c>
      <c r="AF315" s="15" t="s">
        <v>149</v>
      </c>
      <c r="AG315" s="2"/>
      <c r="AH315" s="2" t="str">
        <f>[23]calculation!$P$21</f>
        <v>RealProtect</v>
      </c>
      <c r="AI315" s="45"/>
    </row>
    <row r="316" spans="1:38" ht="14.25" customHeight="1" x14ac:dyDescent="0.25">
      <c r="A316" s="142"/>
      <c r="B316" s="40"/>
      <c r="C316" s="41"/>
      <c r="D316" s="41"/>
      <c r="E316" s="41"/>
      <c r="F316" s="41"/>
      <c r="G316" s="41"/>
      <c r="H316" s="41"/>
      <c r="I316" s="41"/>
      <c r="J316" s="46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4"/>
      <c r="AJ316" s="41"/>
      <c r="AK316" s="41"/>
      <c r="AL316" s="41"/>
    </row>
    <row r="317" spans="1:38" ht="14.25" customHeight="1" x14ac:dyDescent="0.25">
      <c r="A317" s="142">
        <v>3</v>
      </c>
      <c r="B317" s="19" t="s">
        <v>160</v>
      </c>
      <c r="C317" s="31">
        <f>[24]calculation!$P$20</f>
        <v>46166</v>
      </c>
      <c r="D317" s="2" t="str">
        <f>[24]calculation!$P$24</f>
        <v>1M each / 2M total</v>
      </c>
      <c r="E317" s="5">
        <f>[24]calculation!$P$25</f>
        <v>0</v>
      </c>
      <c r="F317" s="32">
        <f>[24]calculation!$P$26</f>
        <v>0</v>
      </c>
      <c r="G317" s="2"/>
      <c r="H317" s="5">
        <f>[24]calculation!$P$27</f>
        <v>111300</v>
      </c>
      <c r="I317" s="2" t="str">
        <f>[24]calculation!$P$28</f>
        <v>Actual cash value</v>
      </c>
      <c r="J317" s="5">
        <f>[24]calculation!$P$29</f>
        <v>47.850386930352535</v>
      </c>
      <c r="K317" s="5">
        <f>[24]calculation!$P$30</f>
        <v>10000</v>
      </c>
      <c r="L317" s="35">
        <f>[24]calculation!$P$31</f>
        <v>0</v>
      </c>
      <c r="M317" s="2"/>
      <c r="N317" s="36" t="s">
        <v>142</v>
      </c>
      <c r="O317" s="5">
        <f>[24]calculation!$P$34</f>
        <v>10000</v>
      </c>
      <c r="P317" s="35">
        <f>[24]calculation!$P$35</f>
        <v>8.9847259658580411E-2</v>
      </c>
      <c r="Q317" s="2"/>
      <c r="R317" s="42" t="s">
        <v>145</v>
      </c>
      <c r="S317" s="5"/>
      <c r="T317" s="32">
        <f>[24]calculation!$P$36</f>
        <v>2473.8000000000002</v>
      </c>
      <c r="U317" s="2"/>
      <c r="V317" s="36" t="s">
        <v>142</v>
      </c>
      <c r="W317" s="5" t="str">
        <f>[24]calculation!$P$43</f>
        <v>?</v>
      </c>
      <c r="X317" s="5" t="str">
        <f>[24]calculation!$P$42</f>
        <v>?</v>
      </c>
      <c r="Y317" s="32">
        <f>[24]calculation!$P$44</f>
        <v>950</v>
      </c>
      <c r="Z317" s="2"/>
      <c r="AA317" s="32">
        <f>[24]calculation!$P$46</f>
        <v>0</v>
      </c>
      <c r="AB317" s="38">
        <f>[24]calculation!$P$47</f>
        <v>0</v>
      </c>
      <c r="AC317" s="6">
        <f>[24]calculation!$P$48</f>
        <v>0</v>
      </c>
      <c r="AD317" s="38">
        <f>AB317+AA317+Y317+T317+F317</f>
        <v>3423.8</v>
      </c>
      <c r="AE317" s="15" t="s">
        <v>149</v>
      </c>
      <c r="AF317" s="15" t="s">
        <v>149</v>
      </c>
      <c r="AG317" s="2"/>
      <c r="AH317" s="2" t="str">
        <f>[24]calculation!$P$21</f>
        <v>RealProtect</v>
      </c>
      <c r="AI317" s="39"/>
    </row>
    <row r="318" spans="1:38" ht="14.25" customHeight="1" x14ac:dyDescent="0.25">
      <c r="A318" s="142"/>
      <c r="B318" s="40"/>
      <c r="C318" s="41"/>
      <c r="D318" s="41"/>
      <c r="E318" s="41"/>
      <c r="F318" s="41"/>
      <c r="G318" s="41"/>
      <c r="H318" s="41"/>
      <c r="I318" s="41"/>
      <c r="J318" s="46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4"/>
      <c r="AJ318" s="41"/>
      <c r="AK318" s="41"/>
      <c r="AL318" s="41"/>
    </row>
    <row r="319" spans="1:38" ht="14.25" customHeight="1" x14ac:dyDescent="0.25">
      <c r="A319" s="142">
        <v>4</v>
      </c>
      <c r="B319" s="151" t="s">
        <v>161</v>
      </c>
      <c r="C319" s="31"/>
      <c r="D319" s="2"/>
      <c r="E319" s="5"/>
      <c r="F319" s="32"/>
      <c r="G319" s="2"/>
      <c r="H319" s="5"/>
      <c r="I319" s="2"/>
      <c r="J319" s="12"/>
      <c r="K319" s="5"/>
      <c r="L319" s="35"/>
      <c r="M319" s="2"/>
      <c r="N319" s="36"/>
      <c r="O319" s="5"/>
      <c r="P319" s="35"/>
      <c r="Q319" s="2"/>
      <c r="R319" s="36"/>
      <c r="S319" s="5"/>
      <c r="T319" s="32"/>
      <c r="U319" s="2"/>
      <c r="V319" s="36"/>
      <c r="W319" s="5"/>
      <c r="X319" s="5"/>
      <c r="Y319" s="32"/>
      <c r="Z319" s="2"/>
      <c r="AA319" s="32"/>
      <c r="AB319" s="38"/>
      <c r="AC319" s="6"/>
      <c r="AD319" s="38">
        <f>[25]calculation!$C$26</f>
        <v>547</v>
      </c>
      <c r="AE319" s="15"/>
      <c r="AF319" s="15"/>
      <c r="AG319" s="2"/>
      <c r="AH319" s="2"/>
      <c r="AI319" s="3"/>
    </row>
    <row r="320" spans="1:38" ht="14.25" customHeight="1" x14ac:dyDescent="0.25">
      <c r="A320" s="142"/>
      <c r="B320" s="40"/>
      <c r="C320" s="41"/>
      <c r="D320" s="41"/>
      <c r="E320" s="41"/>
      <c r="F320" s="41"/>
      <c r="G320" s="41"/>
      <c r="H320" s="41"/>
      <c r="I320" s="41"/>
      <c r="J320" s="46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4"/>
      <c r="AJ320" s="41"/>
      <c r="AK320" s="41"/>
      <c r="AL320" s="41"/>
    </row>
    <row r="321" spans="1:38" ht="14.25" customHeight="1" x14ac:dyDescent="0.25">
      <c r="A321" s="142">
        <v>5</v>
      </c>
      <c r="B321" s="151" t="s">
        <v>162</v>
      </c>
      <c r="C321" s="31">
        <f>[26]calculation!$P$20</f>
        <v>45801</v>
      </c>
      <c r="D321" s="2" t="str">
        <f>[26]calculation!$P$24</f>
        <v>1M each / 2M total</v>
      </c>
      <c r="E321" s="5">
        <f>[26]calculation!$P$25</f>
        <v>0</v>
      </c>
      <c r="F321" s="32">
        <f>[26]calculation!$P$26</f>
        <v>0</v>
      </c>
      <c r="G321" s="2"/>
      <c r="H321" s="5">
        <f>[26]calculation!$P$27</f>
        <v>45360</v>
      </c>
      <c r="I321" s="2" t="str">
        <f>[26]calculation!$P$28</f>
        <v>Actual cash value</v>
      </c>
      <c r="J321" s="5">
        <f>[26]calculation!$P$29</f>
        <v>62.307692307692307</v>
      </c>
      <c r="K321" s="5">
        <f>[26]calculation!$P$30</f>
        <v>10000</v>
      </c>
      <c r="L321" s="35">
        <f>[26]calculation!$P$31</f>
        <v>0</v>
      </c>
      <c r="M321" s="2"/>
      <c r="N321" s="36" t="s">
        <v>142</v>
      </c>
      <c r="O321" s="5">
        <f>[26]calculation!$P$34</f>
        <v>10000</v>
      </c>
      <c r="P321" s="35">
        <f>[26]calculation!$P$35</f>
        <v>0.22045855379188711</v>
      </c>
      <c r="Q321" s="2"/>
      <c r="R321" s="42" t="s">
        <v>145</v>
      </c>
      <c r="S321" s="5"/>
      <c r="T321" s="32">
        <f>[26]calculation!$P$36</f>
        <v>1340.85</v>
      </c>
      <c r="U321" s="2"/>
      <c r="V321" s="42" t="s">
        <v>145</v>
      </c>
      <c r="W321" s="5"/>
      <c r="X321" s="5"/>
      <c r="Y321" s="32"/>
      <c r="Z321" s="2"/>
      <c r="AA321" s="32"/>
      <c r="AB321" s="38">
        <f>[26]calculation!$P$47</f>
        <v>0</v>
      </c>
      <c r="AC321" s="6">
        <f>[26]calculation!$P$48</f>
        <v>0</v>
      </c>
      <c r="AD321" s="38">
        <f>AB321+AA321+Y321+T321+F321</f>
        <v>1340.85</v>
      </c>
      <c r="AE321" s="15" t="s">
        <v>149</v>
      </c>
      <c r="AF321" s="15" t="s">
        <v>149</v>
      </c>
      <c r="AG321" s="2"/>
      <c r="AH321" s="2" t="str">
        <f>[26]calculation!$P$21</f>
        <v>RealProtect</v>
      </c>
      <c r="AI321" s="3"/>
    </row>
    <row r="322" spans="1:38" ht="14.25" customHeight="1" x14ac:dyDescent="0.25">
      <c r="A322" s="142"/>
      <c r="B322" s="40"/>
      <c r="C322" s="41"/>
      <c r="D322" s="41"/>
      <c r="E322" s="41"/>
      <c r="F322" s="41"/>
      <c r="G322" s="41"/>
      <c r="H322" s="41"/>
      <c r="I322" s="41"/>
      <c r="J322" s="46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4"/>
      <c r="AJ322" s="41"/>
      <c r="AK322" s="41"/>
      <c r="AL322" s="41"/>
    </row>
    <row r="323" spans="1:38" ht="14.25" customHeight="1" x14ac:dyDescent="0.25">
      <c r="A323" s="142">
        <v>6</v>
      </c>
      <c r="B323" s="151" t="s">
        <v>163</v>
      </c>
      <c r="C323" s="31">
        <f>[27]calculation!$P$20</f>
        <v>45801</v>
      </c>
      <c r="D323" s="2" t="str">
        <f>[27]calculation!$P$24</f>
        <v>1M each / 2M total</v>
      </c>
      <c r="E323" s="5">
        <f>[27]calculation!$P$25</f>
        <v>0</v>
      </c>
      <c r="F323" s="32">
        <f>[27]calculation!$P$26</f>
        <v>0</v>
      </c>
      <c r="G323" s="2"/>
      <c r="H323" s="5">
        <f>[27]calculation!$P$27</f>
        <v>45360</v>
      </c>
      <c r="I323" s="2" t="str">
        <f>[27]calculation!$P$28</f>
        <v>Actual cash value</v>
      </c>
      <c r="J323" s="5">
        <f>[27]calculation!$P$29</f>
        <v>62.307692307692307</v>
      </c>
      <c r="K323" s="5">
        <f>[27]calculation!$P$30</f>
        <v>10000</v>
      </c>
      <c r="L323" s="35">
        <f>[27]calculation!$P$31</f>
        <v>0</v>
      </c>
      <c r="M323" s="2"/>
      <c r="N323" s="36" t="s">
        <v>142</v>
      </c>
      <c r="O323" s="5">
        <f>[27]calculation!$P$34</f>
        <v>10000</v>
      </c>
      <c r="P323" s="35">
        <f>[27]calculation!$P$35</f>
        <v>0.22045855379188711</v>
      </c>
      <c r="Q323" s="2"/>
      <c r="R323" s="42" t="s">
        <v>145</v>
      </c>
      <c r="S323" s="5"/>
      <c r="T323" s="32">
        <f>[27]calculation!$P$36</f>
        <v>1340.85</v>
      </c>
      <c r="U323" s="2"/>
      <c r="V323" s="42" t="s">
        <v>145</v>
      </c>
      <c r="W323" s="5"/>
      <c r="X323" s="5"/>
      <c r="Y323" s="32"/>
      <c r="Z323" s="2"/>
      <c r="AA323" s="32"/>
      <c r="AB323" s="38">
        <f>[27]calculation!$P$47</f>
        <v>0</v>
      </c>
      <c r="AC323" s="6">
        <f>[27]calculation!$P$48</f>
        <v>0</v>
      </c>
      <c r="AD323" s="38">
        <f>AB323+AA323+Y323+T323+F323</f>
        <v>1340.85</v>
      </c>
      <c r="AE323" s="15" t="s">
        <v>149</v>
      </c>
      <c r="AF323" s="15" t="s">
        <v>149</v>
      </c>
      <c r="AG323" s="2"/>
      <c r="AH323" s="2" t="str">
        <f>[27]calculation!$P$21</f>
        <v>RealProtect</v>
      </c>
      <c r="AI323" s="39"/>
    </row>
    <row r="324" spans="1:38" ht="14.25" customHeight="1" x14ac:dyDescent="0.25">
      <c r="A324" s="142"/>
      <c r="B324" s="40"/>
      <c r="C324" s="41"/>
      <c r="D324" s="41"/>
      <c r="E324" s="41"/>
      <c r="F324" s="41"/>
      <c r="G324" s="41"/>
      <c r="H324" s="41"/>
      <c r="I324" s="41"/>
      <c r="J324" s="46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4"/>
      <c r="AJ324" s="41"/>
      <c r="AK324" s="41"/>
      <c r="AL324" s="41"/>
    </row>
    <row r="325" spans="1:38" ht="14.25" customHeight="1" x14ac:dyDescent="0.25">
      <c r="A325" s="142">
        <v>7</v>
      </c>
      <c r="B325" s="151" t="s">
        <v>164</v>
      </c>
      <c r="C325" s="31">
        <f>[28]calculation!$P$20</f>
        <v>45801</v>
      </c>
      <c r="D325" s="2" t="str">
        <f>[28]calculation!$P$24</f>
        <v>1M each / 2M total</v>
      </c>
      <c r="E325" s="5">
        <f>[28]calculation!$P$25</f>
        <v>0</v>
      </c>
      <c r="F325" s="32">
        <f>[28]calculation!$P$26</f>
        <v>0</v>
      </c>
      <c r="G325" s="2"/>
      <c r="H325" s="5">
        <f>[28]calculation!$P$27</f>
        <v>38280</v>
      </c>
      <c r="I325" s="2" t="str">
        <f>[28]calculation!$P$28</f>
        <v>Actual cash value</v>
      </c>
      <c r="J325" s="5">
        <f>[28]calculation!$P$29</f>
        <v>52.582417582417584</v>
      </c>
      <c r="K325" s="5">
        <f>[28]calculation!$P$30</f>
        <v>10000</v>
      </c>
      <c r="L325" s="35">
        <f>[28]calculation!$P$31</f>
        <v>0</v>
      </c>
      <c r="M325" s="2"/>
      <c r="N325" s="36" t="s">
        <v>142</v>
      </c>
      <c r="O325" s="5">
        <f>[28]calculation!$P$34</f>
        <v>10000</v>
      </c>
      <c r="P325" s="35">
        <f>[28]calculation!$P$35</f>
        <v>0.2612330198537095</v>
      </c>
      <c r="Q325" s="2"/>
      <c r="R325" s="36" t="s">
        <v>142</v>
      </c>
      <c r="S325" s="5">
        <f>[28]calculation!$P$39</f>
        <v>12000</v>
      </c>
      <c r="T325" s="32">
        <f>[28]calculation!$P$36</f>
        <v>1192.8</v>
      </c>
      <c r="U325" s="2"/>
      <c r="V325" s="42" t="s">
        <v>145</v>
      </c>
      <c r="W325" s="5"/>
      <c r="X325" s="5"/>
      <c r="Y325" s="32"/>
      <c r="Z325" s="2"/>
      <c r="AA325" s="32"/>
      <c r="AB325" s="38">
        <f>[28]calculation!$P$47</f>
        <v>0</v>
      </c>
      <c r="AC325" s="6">
        <f>[28]calculation!$P$48</f>
        <v>0</v>
      </c>
      <c r="AD325" s="38">
        <f>AB325+AA325+Y325+T325+F325</f>
        <v>1192.8</v>
      </c>
      <c r="AE325" s="15" t="s">
        <v>149</v>
      </c>
      <c r="AF325" s="15" t="s">
        <v>149</v>
      </c>
      <c r="AG325" s="2"/>
      <c r="AH325" s="2" t="str">
        <f>[28]calculation!$P$21</f>
        <v>RealProtect</v>
      </c>
      <c r="AI325" s="39"/>
    </row>
    <row r="326" spans="1:38" ht="14.25" customHeight="1" x14ac:dyDescent="0.25">
      <c r="A326" s="142"/>
      <c r="B326" s="40"/>
      <c r="C326" s="41"/>
      <c r="D326" s="41"/>
      <c r="E326" s="41"/>
      <c r="F326" s="41"/>
      <c r="G326" s="41"/>
      <c r="H326" s="41"/>
      <c r="I326" s="41"/>
      <c r="J326" s="47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4"/>
      <c r="AJ326" s="41"/>
      <c r="AK326" s="41"/>
      <c r="AL326" s="41"/>
    </row>
    <row r="327" spans="1:38" ht="14.25" customHeight="1" x14ac:dyDescent="0.25">
      <c r="A327" s="142">
        <v>8</v>
      </c>
      <c r="B327" s="151" t="s">
        <v>165</v>
      </c>
      <c r="C327" s="31">
        <f>[29]calculation!$P$21</f>
        <v>45801</v>
      </c>
      <c r="D327" s="2" t="str">
        <f>[29]calculation!$P$25</f>
        <v>1M each / 2M total</v>
      </c>
      <c r="E327" s="5">
        <f>[29]calculation!$P$26</f>
        <v>0</v>
      </c>
      <c r="F327" s="32">
        <f>[29]calculation!$P$27</f>
        <v>0</v>
      </c>
      <c r="G327" s="2"/>
      <c r="H327" s="5">
        <f>[29]calculation!$P$28</f>
        <v>84240</v>
      </c>
      <c r="I327" s="2" t="str">
        <f>[29]calculation!$P$29</f>
        <v>Actual cash value</v>
      </c>
      <c r="J327" s="5">
        <f>[29]calculation!$P$30</f>
        <v>54</v>
      </c>
      <c r="K327" s="5">
        <f>[29]calculation!$P$31</f>
        <v>10000</v>
      </c>
      <c r="L327" s="35">
        <f>[29]calculation!$P$32</f>
        <v>0</v>
      </c>
      <c r="M327" s="2"/>
      <c r="N327" s="36" t="s">
        <v>142</v>
      </c>
      <c r="O327" s="5">
        <f>[29]calculation!$P$35</f>
        <v>10000</v>
      </c>
      <c r="P327" s="35">
        <f>[29]calculation!$P$36</f>
        <v>0.11870845204178537</v>
      </c>
      <c r="Q327" s="2"/>
      <c r="R327" s="36" t="s">
        <v>142</v>
      </c>
      <c r="S327" s="5">
        <f>[29]calculation!$P$40</f>
        <v>12000</v>
      </c>
      <c r="T327" s="32">
        <f>[29]calculation!$P$37</f>
        <v>2157.75</v>
      </c>
      <c r="U327" s="2"/>
      <c r="V327" s="42" t="s">
        <v>145</v>
      </c>
      <c r="W327" s="5"/>
      <c r="X327" s="5"/>
      <c r="Y327" s="32"/>
      <c r="Z327" s="2"/>
      <c r="AA327" s="32"/>
      <c r="AB327" s="38">
        <f>[29]calculation!$P$48</f>
        <v>0</v>
      </c>
      <c r="AC327" s="6">
        <f>[29]calculation!$P$49</f>
        <v>0</v>
      </c>
      <c r="AD327" s="38">
        <f>AB327+AA327+Y327+T327+F327</f>
        <v>2157.75</v>
      </c>
      <c r="AE327" s="15" t="s">
        <v>149</v>
      </c>
      <c r="AF327" s="15" t="s">
        <v>149</v>
      </c>
      <c r="AG327" s="2"/>
      <c r="AH327" s="2" t="str">
        <f>[29]calculation!$P$22</f>
        <v>RealProtect</v>
      </c>
      <c r="AI327" s="3"/>
    </row>
    <row r="328" spans="1:38" ht="14.25" customHeight="1" x14ac:dyDescent="0.25">
      <c r="A328" s="142"/>
      <c r="B328" s="40"/>
      <c r="C328" s="41"/>
      <c r="D328" s="41"/>
      <c r="E328" s="41"/>
      <c r="F328" s="41"/>
      <c r="G328" s="41"/>
      <c r="H328" s="41"/>
      <c r="I328" s="41"/>
      <c r="J328" s="47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4"/>
      <c r="AJ328" s="41"/>
      <c r="AK328" s="41"/>
      <c r="AL328" s="41"/>
    </row>
    <row r="329" spans="1:38" ht="14.25" customHeight="1" x14ac:dyDescent="0.25">
      <c r="A329" s="142">
        <v>9</v>
      </c>
      <c r="B329" s="151" t="s">
        <v>166</v>
      </c>
      <c r="C329" s="31">
        <f>[30]calculation!$P$20</f>
        <v>45801</v>
      </c>
      <c r="D329" s="2" t="str">
        <f>[30]calculation!$P$24</f>
        <v>1M each / 2M total</v>
      </c>
      <c r="E329" s="5">
        <f>[30]calculation!$P$25</f>
        <v>0</v>
      </c>
      <c r="F329" s="32">
        <f>[30]calculation!$P$26</f>
        <v>0</v>
      </c>
      <c r="G329" s="2"/>
      <c r="H329" s="5">
        <f>[30]calculation!$P$27</f>
        <v>75960</v>
      </c>
      <c r="I329" s="2" t="str">
        <f>[30]calculation!$P$28</f>
        <v>Actual cash value</v>
      </c>
      <c r="J329" s="5">
        <f>[30]calculation!$P$29</f>
        <v>48.692307692307693</v>
      </c>
      <c r="K329" s="5">
        <f>[30]calculation!$P$30</f>
        <v>10000</v>
      </c>
      <c r="L329" s="35">
        <f>[30]calculation!$P$31</f>
        <v>0</v>
      </c>
      <c r="M329" s="2"/>
      <c r="N329" s="36" t="s">
        <v>142</v>
      </c>
      <c r="O329" s="5">
        <f>[30]calculation!$P$34</f>
        <v>10000</v>
      </c>
      <c r="P329" s="35">
        <f>[30]calculation!$P$35</f>
        <v>0.13164823591363875</v>
      </c>
      <c r="Q329" s="2"/>
      <c r="R329" s="36" t="s">
        <v>142</v>
      </c>
      <c r="S329" s="5">
        <f>[30]calculation!$P$39</f>
        <v>21600</v>
      </c>
      <c r="T329" s="32">
        <f>[30]calculation!$P$36</f>
        <v>2185.0500000000002</v>
      </c>
      <c r="U329" s="2"/>
      <c r="V329" s="42" t="s">
        <v>145</v>
      </c>
      <c r="W329" s="5"/>
      <c r="X329" s="5"/>
      <c r="Y329" s="32"/>
      <c r="Z329" s="2"/>
      <c r="AA329" s="32"/>
      <c r="AB329" s="38">
        <f>[30]calculation!$P$47</f>
        <v>0</v>
      </c>
      <c r="AC329" s="6">
        <f>[30]calculation!$P$48</f>
        <v>0</v>
      </c>
      <c r="AD329" s="38">
        <f>AB329+AA329+Y329+T329+F329</f>
        <v>2185.0500000000002</v>
      </c>
      <c r="AE329" s="15" t="s">
        <v>149</v>
      </c>
      <c r="AF329" s="15" t="s">
        <v>149</v>
      </c>
      <c r="AG329" s="2"/>
      <c r="AH329" s="2" t="str">
        <f>[30]calculation!$P$21</f>
        <v>RealProtect</v>
      </c>
      <c r="AI329" s="39"/>
    </row>
    <row r="330" spans="1:38" ht="14.25" customHeight="1" x14ac:dyDescent="0.25">
      <c r="A330" s="142"/>
      <c r="B330" s="40"/>
      <c r="C330" s="41"/>
      <c r="D330" s="41"/>
      <c r="E330" s="41"/>
      <c r="F330" s="41"/>
      <c r="G330" s="41"/>
      <c r="H330" s="41"/>
      <c r="I330" s="41"/>
      <c r="J330" s="47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4"/>
      <c r="AJ330" s="41"/>
      <c r="AK330" s="41"/>
      <c r="AL330" s="41"/>
    </row>
    <row r="331" spans="1:38" ht="14.25" customHeight="1" x14ac:dyDescent="0.25">
      <c r="A331" s="142">
        <v>10</v>
      </c>
      <c r="B331" s="156" t="s">
        <v>167</v>
      </c>
      <c r="C331" s="31">
        <f>[31]calculation!$P$21</f>
        <v>45801</v>
      </c>
      <c r="D331" s="2" t="str">
        <f>[31]calculation!$P$25</f>
        <v>1M each / 2M total</v>
      </c>
      <c r="E331" s="5">
        <f>[31]calculation!$P$26</f>
        <v>0</v>
      </c>
      <c r="F331" s="32">
        <f>[31]calculation!$P$27</f>
        <v>0</v>
      </c>
      <c r="G331" s="2"/>
      <c r="H331" s="5">
        <f>[31]calculation!$P$28</f>
        <v>109800</v>
      </c>
      <c r="I331" s="2" t="str">
        <f>[31]calculation!$P$29</f>
        <v>Actual cash value</v>
      </c>
      <c r="J331" s="5">
        <f>[31]calculation!$P$30</f>
        <v>59.032258064516128</v>
      </c>
      <c r="K331" s="5">
        <f>[31]calculation!$P$31</f>
        <v>10000</v>
      </c>
      <c r="L331" s="35">
        <f>[31]calculation!$P$32</f>
        <v>0</v>
      </c>
      <c r="M331" s="2"/>
      <c r="N331" s="36" t="s">
        <v>142</v>
      </c>
      <c r="O331" s="5">
        <f>[31]calculation!$P$35</f>
        <v>10000</v>
      </c>
      <c r="P331" s="35">
        <f>[31]calculation!$P$36</f>
        <v>9.107468123861566E-2</v>
      </c>
      <c r="Q331" s="2"/>
      <c r="R331" s="36" t="s">
        <v>142</v>
      </c>
      <c r="S331" s="5">
        <f>[31]calculation!$P$40</f>
        <v>13200</v>
      </c>
      <c r="T331" s="32">
        <v>23400</v>
      </c>
      <c r="U331" s="2"/>
      <c r="V331" s="42" t="s">
        <v>145</v>
      </c>
      <c r="W331" s="5"/>
      <c r="X331" s="5"/>
      <c r="Y331" s="32"/>
      <c r="Z331" s="2"/>
      <c r="AA331" s="32"/>
      <c r="AB331" s="38">
        <f>[31]calculation!$P$48</f>
        <v>0</v>
      </c>
      <c r="AC331" s="6">
        <f>[31]calculation!$P$49</f>
        <v>0</v>
      </c>
      <c r="AD331" s="38">
        <f>AB331+AA331+Y331+T331+F331</f>
        <v>23400</v>
      </c>
      <c r="AE331" s="15" t="s">
        <v>149</v>
      </c>
      <c r="AF331" s="15" t="s">
        <v>149</v>
      </c>
      <c r="AG331" s="2"/>
      <c r="AH331" s="2" t="str">
        <f>[31]calculation!$P$22</f>
        <v>RealProtect</v>
      </c>
      <c r="AI331" s="3"/>
    </row>
    <row r="332" spans="1:38" ht="14.25" customHeight="1" x14ac:dyDescent="0.25">
      <c r="A332" s="142"/>
      <c r="B332" s="40"/>
      <c r="C332" s="41"/>
      <c r="D332" s="41"/>
      <c r="E332" s="41"/>
      <c r="F332" s="41"/>
      <c r="G332" s="41"/>
      <c r="H332" s="41"/>
      <c r="I332" s="41"/>
      <c r="J332" s="47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4"/>
      <c r="AJ332" s="41"/>
      <c r="AK332" s="41"/>
      <c r="AL332" s="41"/>
    </row>
    <row r="333" spans="1:38" ht="14.25" customHeight="1" x14ac:dyDescent="0.25">
      <c r="A333" s="142">
        <v>11</v>
      </c>
      <c r="B333" s="151" t="s">
        <v>168</v>
      </c>
      <c r="C333" s="31">
        <f>[32]calculation!$P$20</f>
        <v>45801</v>
      </c>
      <c r="D333" s="2" t="str">
        <f>[32]calculation!$P$24</f>
        <v>1M each / 2M total</v>
      </c>
      <c r="E333" s="5">
        <f>[32]calculation!$P$25</f>
        <v>0</v>
      </c>
      <c r="F333" s="32">
        <f>[32]calculation!$P$26</f>
        <v>0</v>
      </c>
      <c r="G333" s="2"/>
      <c r="H333" s="5">
        <f>[32]calculation!$P$27</f>
        <v>61920</v>
      </c>
      <c r="I333" s="2" t="str">
        <f>[32]calculation!$P$28</f>
        <v>Actual cash value</v>
      </c>
      <c r="J333" s="5">
        <f>[32]calculation!$P$29</f>
        <v>56.086956521739133</v>
      </c>
      <c r="K333" s="5">
        <f>[32]calculation!$P$30</f>
        <v>10000</v>
      </c>
      <c r="L333" s="35">
        <f>[32]calculation!$P$31</f>
        <v>0</v>
      </c>
      <c r="M333" s="2"/>
      <c r="N333" s="36" t="s">
        <v>142</v>
      </c>
      <c r="O333" s="5">
        <f>[32]calculation!$P$34</f>
        <v>10000</v>
      </c>
      <c r="P333" s="35">
        <f>[32]calculation!$P$35</f>
        <v>0.16149870801033592</v>
      </c>
      <c r="Q333" s="2"/>
      <c r="R333" s="36" t="s">
        <v>142</v>
      </c>
      <c r="S333" s="5">
        <f>[32]calculation!$P$39</f>
        <v>31200</v>
      </c>
      <c r="T333" s="32">
        <f>[32]calculation!$P$36</f>
        <v>2091.6</v>
      </c>
      <c r="U333" s="2"/>
      <c r="V333" s="42" t="s">
        <v>145</v>
      </c>
      <c r="W333" s="5"/>
      <c r="X333" s="5"/>
      <c r="Y333" s="32"/>
      <c r="Z333" s="2"/>
      <c r="AA333" s="32"/>
      <c r="AB333" s="38">
        <f>[32]calculation!$P$46</f>
        <v>0</v>
      </c>
      <c r="AC333" s="6">
        <f>[32]calculation!$P$48</f>
        <v>0</v>
      </c>
      <c r="AD333" s="38">
        <f>AB333+AA333+Y333+T333+F333</f>
        <v>2091.6</v>
      </c>
      <c r="AE333" s="15" t="s">
        <v>149</v>
      </c>
      <c r="AF333" s="15" t="s">
        <v>149</v>
      </c>
      <c r="AG333" s="2"/>
      <c r="AH333" s="2" t="str">
        <f>[32]calculation!$P$21</f>
        <v>RealProtect</v>
      </c>
      <c r="AI333" s="3"/>
    </row>
    <row r="334" spans="1:38" ht="14.25" customHeight="1" x14ac:dyDescent="0.25">
      <c r="A334" s="142"/>
      <c r="B334" s="40"/>
      <c r="C334" s="41"/>
      <c r="D334" s="41"/>
      <c r="E334" s="41"/>
      <c r="F334" s="41"/>
      <c r="G334" s="41"/>
      <c r="H334" s="41"/>
      <c r="I334" s="41"/>
      <c r="J334" s="47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4"/>
      <c r="AJ334" s="41"/>
      <c r="AK334" s="41"/>
      <c r="AL334" s="41"/>
    </row>
    <row r="335" spans="1:38" ht="14.25" customHeight="1" x14ac:dyDescent="0.25">
      <c r="A335" s="142">
        <v>12</v>
      </c>
      <c r="B335" s="151" t="s">
        <v>169</v>
      </c>
      <c r="C335" s="31">
        <f>[33]calculation!$P$21</f>
        <v>45801</v>
      </c>
      <c r="D335" s="2" t="str">
        <f>[33]calculation!$P$25</f>
        <v>1M each / 2M total</v>
      </c>
      <c r="E335" s="5">
        <f>[33]calculation!$P$26</f>
        <v>0</v>
      </c>
      <c r="F335" s="32">
        <f>[33]calculation!$P$27</f>
        <v>0</v>
      </c>
      <c r="G335" s="2"/>
      <c r="H335" s="5">
        <f>[33]calculation!$P$28</f>
        <v>73440</v>
      </c>
      <c r="I335" s="2" t="str">
        <f>[33]calculation!$P$29</f>
        <v>Actual cash value</v>
      </c>
      <c r="J335" s="5">
        <f>[33]calculation!$P$30</f>
        <v>44.24096385542169</v>
      </c>
      <c r="K335" s="5">
        <f>[33]calculation!$P$31</f>
        <v>10000</v>
      </c>
      <c r="L335" s="35">
        <f>[33]calculation!$P$32</f>
        <v>0</v>
      </c>
      <c r="M335" s="2"/>
      <c r="N335" s="36" t="s">
        <v>142</v>
      </c>
      <c r="O335" s="5">
        <f>[33]calculation!$P$35</f>
        <v>10000</v>
      </c>
      <c r="P335" s="35">
        <f>[33]calculation!$P$36</f>
        <v>0.13616557734204793</v>
      </c>
      <c r="Q335" s="2"/>
      <c r="R335" s="36" t="s">
        <v>142</v>
      </c>
      <c r="S335" s="5">
        <f>[33]calculation!$P$40</f>
        <v>12000</v>
      </c>
      <c r="T335" s="32">
        <f>[33]calculation!$P$37</f>
        <v>1930.95</v>
      </c>
      <c r="U335" s="2"/>
      <c r="V335" s="42" t="s">
        <v>145</v>
      </c>
      <c r="W335" s="5"/>
      <c r="X335" s="5"/>
      <c r="Y335" s="32"/>
      <c r="Z335" s="2"/>
      <c r="AA335" s="32"/>
      <c r="AB335" s="38">
        <f>[33]calculation!$P$48</f>
        <v>0</v>
      </c>
      <c r="AC335" s="6">
        <f>[33]calculation!$P$49</f>
        <v>0</v>
      </c>
      <c r="AD335" s="38">
        <f>AB335+AA335+Y335+T335+F335</f>
        <v>1930.95</v>
      </c>
      <c r="AE335" s="15" t="s">
        <v>149</v>
      </c>
      <c r="AF335" s="15" t="s">
        <v>149</v>
      </c>
      <c r="AG335" s="2"/>
      <c r="AH335" s="2" t="str">
        <f>[33]calculation!$P$22</f>
        <v>RealProtect</v>
      </c>
      <c r="AI335" s="3"/>
    </row>
    <row r="336" spans="1:38" ht="14.25" customHeight="1" x14ac:dyDescent="0.25">
      <c r="A336" s="142"/>
      <c r="B336" s="40"/>
      <c r="C336" s="41"/>
      <c r="D336" s="41"/>
      <c r="E336" s="41"/>
      <c r="F336" s="41"/>
      <c r="G336" s="41"/>
      <c r="H336" s="41"/>
      <c r="I336" s="41"/>
      <c r="J336" s="47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4"/>
      <c r="AJ336" s="41"/>
      <c r="AK336" s="41"/>
      <c r="AL336" s="41"/>
    </row>
    <row r="337" spans="1:38" ht="14.25" customHeight="1" x14ac:dyDescent="0.25">
      <c r="A337" s="142">
        <v>13</v>
      </c>
      <c r="B337" s="151" t="s">
        <v>170</v>
      </c>
      <c r="C337" s="31">
        <f>[34]calculation!$P$21</f>
        <v>45801</v>
      </c>
      <c r="D337" s="2" t="str">
        <f>[34]calculation!$P$25</f>
        <v>1M each / 2M total</v>
      </c>
      <c r="E337" s="5">
        <f>[34]calculation!$P$26</f>
        <v>0</v>
      </c>
      <c r="F337" s="32">
        <f>[34]calculation!$P$27</f>
        <v>0</v>
      </c>
      <c r="G337" s="2"/>
      <c r="H337" s="5">
        <f>[34]calculation!$P$28</f>
        <v>77760</v>
      </c>
      <c r="I337" s="2" t="str">
        <f>[34]calculation!$P$29</f>
        <v>Actual cash value</v>
      </c>
      <c r="J337" s="5">
        <f>[34]calculation!$P$30</f>
        <v>60</v>
      </c>
      <c r="K337" s="5">
        <f>[34]calculation!$P$31</f>
        <v>10000</v>
      </c>
      <c r="L337" s="35">
        <f>[34]calculation!$P$32</f>
        <v>0</v>
      </c>
      <c r="M337" s="2"/>
      <c r="N337" s="36" t="s">
        <v>142</v>
      </c>
      <c r="O337" s="5">
        <f>[34]calculation!$P$35</f>
        <v>10000</v>
      </c>
      <c r="P337" s="35">
        <f>[34]calculation!$P$36</f>
        <v>0.12860082304526749</v>
      </c>
      <c r="Q337" s="2"/>
      <c r="R337" s="42" t="s">
        <v>145</v>
      </c>
      <c r="S337" s="5"/>
      <c r="T337" s="32">
        <f>[34]calculation!$P$37</f>
        <v>1769.25</v>
      </c>
      <c r="U337" s="2"/>
      <c r="V337" s="42" t="s">
        <v>145</v>
      </c>
      <c r="W337" s="5"/>
      <c r="X337" s="5"/>
      <c r="Y337" s="32"/>
      <c r="Z337" s="2"/>
      <c r="AA337" s="32"/>
      <c r="AB337" s="38">
        <f>[34]calculation!$P$48</f>
        <v>0</v>
      </c>
      <c r="AC337" s="6">
        <f>[34]calculation!$P$49</f>
        <v>0</v>
      </c>
      <c r="AD337" s="38">
        <f>AB337+AA337+Y337+T337+F337</f>
        <v>1769.25</v>
      </c>
      <c r="AE337" s="15" t="s">
        <v>149</v>
      </c>
      <c r="AF337" s="15" t="s">
        <v>149</v>
      </c>
      <c r="AG337" s="2"/>
      <c r="AH337" s="2" t="str">
        <f>[34]calculation!$P$22</f>
        <v>RealProtect</v>
      </c>
      <c r="AI337" s="3"/>
    </row>
    <row r="338" spans="1:38" ht="14.25" customHeight="1" x14ac:dyDescent="0.25">
      <c r="A338" s="142"/>
      <c r="B338" s="40"/>
      <c r="C338" s="41"/>
      <c r="D338" s="41"/>
      <c r="E338" s="41"/>
      <c r="F338" s="41"/>
      <c r="G338" s="41"/>
      <c r="H338" s="41"/>
      <c r="I338" s="41"/>
      <c r="J338" s="47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4"/>
      <c r="AJ338" s="41"/>
      <c r="AK338" s="41"/>
      <c r="AL338" s="41"/>
    </row>
    <row r="339" spans="1:38" ht="14.25" customHeight="1" x14ac:dyDescent="0.25">
      <c r="A339" s="142">
        <v>14</v>
      </c>
      <c r="B339" s="151" t="s">
        <v>171</v>
      </c>
      <c r="C339" s="31">
        <f>[35]calculation!$P$21</f>
        <v>45801</v>
      </c>
      <c r="D339" s="2" t="str">
        <f>[35]calculation!$P$25</f>
        <v>1M each / 2M total</v>
      </c>
      <c r="E339" s="5">
        <f>[35]calculation!$P$26</f>
        <v>0</v>
      </c>
      <c r="F339" s="32">
        <f>[35]calculation!$P$27</f>
        <v>0</v>
      </c>
      <c r="G339" s="2"/>
      <c r="H339" s="5">
        <f>[35]calculation!$P$28</f>
        <v>95820</v>
      </c>
      <c r="I339" s="2" t="str">
        <f>[35]calculation!$P$29</f>
        <v>Actual cash value</v>
      </c>
      <c r="J339" s="5">
        <f>[35]calculation!$P$30</f>
        <v>91.257142857142853</v>
      </c>
      <c r="K339" s="5">
        <f>[35]calculation!$P$31</f>
        <v>10000</v>
      </c>
      <c r="L339" s="35">
        <f>[35]calculation!$P$32</f>
        <v>0</v>
      </c>
      <c r="M339" s="2"/>
      <c r="N339" s="36" t="s">
        <v>142</v>
      </c>
      <c r="O339" s="5">
        <f>[35]calculation!$P$35</f>
        <v>10000</v>
      </c>
      <c r="P339" s="35">
        <f>[35]calculation!$P$36</f>
        <v>0.10436234606553955</v>
      </c>
      <c r="Q339" s="2"/>
      <c r="R339" s="42" t="s">
        <v>145</v>
      </c>
      <c r="S339" s="5"/>
      <c r="T339" s="32">
        <f>[35]calculation!$P$37</f>
        <v>2148.3000000000002</v>
      </c>
      <c r="U339" s="2"/>
      <c r="V339" s="42" t="s">
        <v>145</v>
      </c>
      <c r="W339" s="5"/>
      <c r="X339" s="5"/>
      <c r="Y339" s="32"/>
      <c r="Z339" s="2"/>
      <c r="AA339" s="32"/>
      <c r="AB339" s="38">
        <f>[35]calculation!$P$48</f>
        <v>0</v>
      </c>
      <c r="AC339" s="6">
        <f>[35]calculation!$P$49</f>
        <v>0</v>
      </c>
      <c r="AD339" s="38">
        <f>AB339+AA339+Y339+T339+F339</f>
        <v>2148.3000000000002</v>
      </c>
      <c r="AE339" s="15" t="s">
        <v>149</v>
      </c>
      <c r="AF339" s="15" t="s">
        <v>149</v>
      </c>
      <c r="AG339" s="2"/>
      <c r="AH339" s="2" t="str">
        <f>[35]calculation!$P$22</f>
        <v>RealProtect</v>
      </c>
      <c r="AI339" s="39"/>
    </row>
    <row r="340" spans="1:38" ht="14.25" customHeight="1" x14ac:dyDescent="0.25">
      <c r="A340" s="142"/>
      <c r="B340" s="40"/>
      <c r="C340" s="41"/>
      <c r="D340" s="41"/>
      <c r="E340" s="41"/>
      <c r="F340" s="41"/>
      <c r="G340" s="41"/>
      <c r="H340" s="41"/>
      <c r="I340" s="41"/>
      <c r="J340" s="47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4"/>
      <c r="AJ340" s="41"/>
      <c r="AK340" s="41"/>
      <c r="AL340" s="41"/>
    </row>
    <row r="341" spans="1:38" ht="14.25" customHeight="1" x14ac:dyDescent="0.25">
      <c r="A341" s="142">
        <v>15</v>
      </c>
      <c r="B341" s="151" t="s">
        <v>172</v>
      </c>
      <c r="C341" s="31">
        <f>[36]calculation!$P$21</f>
        <v>45801</v>
      </c>
      <c r="D341" s="2" t="str">
        <f>[36]calculation!$P$25</f>
        <v>1M each / 2M total</v>
      </c>
      <c r="E341" s="5">
        <f>[36]calculation!$P$26</f>
        <v>0</v>
      </c>
      <c r="F341" s="32">
        <f>[36]calculation!$P$27</f>
        <v>0</v>
      </c>
      <c r="G341" s="2"/>
      <c r="H341" s="5">
        <f>[36]calculation!$P$28</f>
        <v>95340</v>
      </c>
      <c r="I341" s="2" t="str">
        <f>[36]calculation!$P$29</f>
        <v>Actual cash value</v>
      </c>
      <c r="J341" s="5">
        <f>[36]calculation!$P$30</f>
        <v>60</v>
      </c>
      <c r="K341" s="5">
        <f>[36]calculation!$P$31</f>
        <v>10000</v>
      </c>
      <c r="L341" s="35">
        <f>[36]calculation!$P$32</f>
        <v>0</v>
      </c>
      <c r="M341" s="2"/>
      <c r="N341" s="36" t="s">
        <v>142</v>
      </c>
      <c r="O341" s="5">
        <f>[36]calculation!$P$35</f>
        <v>10000</v>
      </c>
      <c r="P341" s="35">
        <f>[36]calculation!$P$36</f>
        <v>0.10488777008600797</v>
      </c>
      <c r="Q341" s="2"/>
      <c r="R341" s="42" t="s">
        <v>145</v>
      </c>
      <c r="S341" s="5"/>
      <c r="T341" s="32">
        <f>[36]calculation!$P$37</f>
        <v>2138.85</v>
      </c>
      <c r="U341" s="2"/>
      <c r="V341" s="42" t="s">
        <v>145</v>
      </c>
      <c r="W341" s="5"/>
      <c r="X341" s="5"/>
      <c r="Y341" s="32"/>
      <c r="Z341" s="2"/>
      <c r="AA341" s="32"/>
      <c r="AB341" s="38">
        <f>[36]calculation!$P$48</f>
        <v>0</v>
      </c>
      <c r="AC341" s="6">
        <f>[36]calculation!$P$49</f>
        <v>0</v>
      </c>
      <c r="AD341" s="38">
        <f>AB341+AA341+Y341+T341+F341</f>
        <v>2138.85</v>
      </c>
      <c r="AE341" s="15" t="s">
        <v>149</v>
      </c>
      <c r="AF341" s="15" t="s">
        <v>149</v>
      </c>
      <c r="AG341" s="2"/>
      <c r="AH341" s="2" t="str">
        <f>[36]calculation!$P$22</f>
        <v>RealProtect</v>
      </c>
      <c r="AI341" s="3"/>
    </row>
    <row r="342" spans="1:38" ht="14.25" customHeight="1" x14ac:dyDescent="0.25">
      <c r="A342" s="142"/>
      <c r="B342" s="40"/>
      <c r="C342" s="41"/>
      <c r="D342" s="41"/>
      <c r="E342" s="41"/>
      <c r="F342" s="41"/>
      <c r="G342" s="41"/>
      <c r="H342" s="41"/>
      <c r="I342" s="41"/>
      <c r="J342" s="47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4"/>
      <c r="AJ342" s="41"/>
      <c r="AK342" s="41"/>
      <c r="AL342" s="41"/>
    </row>
    <row r="343" spans="1:38" ht="14.25" customHeight="1" x14ac:dyDescent="0.25">
      <c r="A343" s="142">
        <v>16</v>
      </c>
      <c r="B343" s="151" t="s">
        <v>175</v>
      </c>
      <c r="C343" s="31">
        <f>[37]calculation!$P$21</f>
        <v>45801</v>
      </c>
      <c r="D343" s="2" t="str">
        <f>[37]calculation!$P$25</f>
        <v>1M each / 2M total</v>
      </c>
      <c r="E343" s="5">
        <f>[37]calculation!$P$26</f>
        <v>0</v>
      </c>
      <c r="F343" s="32">
        <f>[37]calculation!$P$27</f>
        <v>0</v>
      </c>
      <c r="G343" s="2"/>
      <c r="H343" s="5">
        <f>[37]calculation!$P$28</f>
        <v>122400</v>
      </c>
      <c r="I343" s="2" t="str">
        <f>[37]calculation!$P$29</f>
        <v>Actual cash value</v>
      </c>
      <c r="J343" s="5">
        <f>[37]calculation!$P$30</f>
        <v>65.806451612903231</v>
      </c>
      <c r="K343" s="5">
        <f>[37]calculation!$P$31</f>
        <v>10000</v>
      </c>
      <c r="L343" s="35">
        <f>[37]calculation!$P$32</f>
        <v>0</v>
      </c>
      <c r="M343" s="2"/>
      <c r="N343" s="36" t="s">
        <v>142</v>
      </c>
      <c r="O343" s="5">
        <f>[37]calculation!$P$35</f>
        <v>10000</v>
      </c>
      <c r="P343" s="35">
        <f>[37]calculation!$P$36</f>
        <v>8.1699346405228759E-2</v>
      </c>
      <c r="Q343" s="2"/>
      <c r="R343" s="42" t="s">
        <v>145</v>
      </c>
      <c r="S343" s="5"/>
      <c r="T343" s="32">
        <f>[37]calculation!$P$37</f>
        <v>2706.9</v>
      </c>
      <c r="U343" s="2"/>
      <c r="V343" s="42" t="s">
        <v>145</v>
      </c>
      <c r="W343" s="5"/>
      <c r="X343" s="5"/>
      <c r="Y343" s="32"/>
      <c r="Z343" s="2"/>
      <c r="AA343" s="32"/>
      <c r="AB343" s="38">
        <f>[37]calculation!$P$48</f>
        <v>0</v>
      </c>
      <c r="AC343" s="6">
        <f>[37]calculation!$P$49</f>
        <v>0</v>
      </c>
      <c r="AD343" s="38">
        <f>AB343+AA343+Y343+T343+F343</f>
        <v>2706.9</v>
      </c>
      <c r="AE343" s="15" t="s">
        <v>149</v>
      </c>
      <c r="AF343" s="15" t="s">
        <v>149</v>
      </c>
      <c r="AG343" s="2"/>
      <c r="AH343" s="2" t="str">
        <f>[37]calculation!$P$22</f>
        <v>RealProtect</v>
      </c>
      <c r="AI343" s="3"/>
    </row>
    <row r="344" spans="1:38" ht="14.25" customHeight="1" x14ac:dyDescent="0.25">
      <c r="A344" s="142"/>
      <c r="B344" s="40"/>
      <c r="C344" s="41"/>
      <c r="D344" s="41"/>
      <c r="E344" s="41"/>
      <c r="F344" s="41"/>
      <c r="G344" s="41"/>
      <c r="H344" s="41"/>
      <c r="I344" s="41"/>
      <c r="J344" s="47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4"/>
      <c r="AJ344" s="41"/>
      <c r="AK344" s="41"/>
      <c r="AL344" s="41"/>
    </row>
    <row r="345" spans="1:38" ht="14.25" customHeight="1" x14ac:dyDescent="0.25">
      <c r="A345" s="142">
        <v>17</v>
      </c>
      <c r="B345" s="151" t="s">
        <v>173</v>
      </c>
      <c r="C345" s="31">
        <f>[38]calculation!$P$21</f>
        <v>45801</v>
      </c>
      <c r="D345" s="2" t="str">
        <f>[38]calculation!$P$25</f>
        <v>1M each / 2M total</v>
      </c>
      <c r="E345" s="5">
        <f>[38]calculation!$P$26</f>
        <v>0</v>
      </c>
      <c r="F345" s="32">
        <f>[38]calculation!$P$27</f>
        <v>0</v>
      </c>
      <c r="G345" s="2"/>
      <c r="H345" s="5">
        <f>[38]calculation!$P$28</f>
        <v>117600</v>
      </c>
      <c r="I345" s="2" t="str">
        <f>[38]calculation!$P$29</f>
        <v>Actual cash value</v>
      </c>
      <c r="J345" s="5">
        <f>[38]calculation!$P$30</f>
        <v>63.225806451612904</v>
      </c>
      <c r="K345" s="5">
        <f>[38]calculation!$P$31</f>
        <v>10000</v>
      </c>
      <c r="L345" s="35">
        <f>[38]calculation!$P$32</f>
        <v>0</v>
      </c>
      <c r="M345" s="2"/>
      <c r="N345" s="36" t="s">
        <v>142</v>
      </c>
      <c r="O345" s="5">
        <f>[38]calculation!$P$35</f>
        <v>10000</v>
      </c>
      <c r="P345" s="35">
        <f>[38]calculation!$P$36</f>
        <v>8.5034013605442174E-2</v>
      </c>
      <c r="Q345" s="2"/>
      <c r="R345" s="42" t="s">
        <v>145</v>
      </c>
      <c r="S345" s="5"/>
      <c r="T345" s="32">
        <f>[38]calculation!$P$37</f>
        <v>2606.1</v>
      </c>
      <c r="U345" s="2"/>
      <c r="V345" s="42" t="s">
        <v>145</v>
      </c>
      <c r="W345" s="5"/>
      <c r="X345" s="5"/>
      <c r="Y345" s="32"/>
      <c r="Z345" s="2"/>
      <c r="AA345" s="32"/>
      <c r="AB345" s="38">
        <f>[38]calculation!$P$48</f>
        <v>0</v>
      </c>
      <c r="AC345" s="6">
        <f>[38]calculation!$P$49</f>
        <v>0</v>
      </c>
      <c r="AD345" s="38">
        <f>AB345+AA345+Y345+T345+F345</f>
        <v>2606.1</v>
      </c>
      <c r="AE345" s="15" t="s">
        <v>149</v>
      </c>
      <c r="AF345" s="15" t="s">
        <v>149</v>
      </c>
      <c r="AG345" s="2"/>
      <c r="AH345" s="2" t="str">
        <f>[38]calculation!$P$22</f>
        <v>RealProtect</v>
      </c>
      <c r="AI345" s="3"/>
    </row>
    <row r="346" spans="1:38" ht="14.25" customHeight="1" x14ac:dyDescent="0.25">
      <c r="A346" s="142"/>
      <c r="B346" s="40"/>
      <c r="C346" s="41"/>
      <c r="D346" s="41"/>
      <c r="E346" s="41"/>
      <c r="F346" s="41"/>
      <c r="G346" s="41"/>
      <c r="H346" s="41"/>
      <c r="I346" s="41"/>
      <c r="J346" s="47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4"/>
      <c r="AJ346" s="41"/>
      <c r="AK346" s="41"/>
      <c r="AL346" s="41"/>
    </row>
    <row r="347" spans="1:38" ht="14.25" customHeight="1" x14ac:dyDescent="0.25">
      <c r="A347" s="142">
        <v>18</v>
      </c>
      <c r="B347" s="151" t="s">
        <v>174</v>
      </c>
      <c r="C347" s="31">
        <f>[39]calculation!$P$21</f>
        <v>45801</v>
      </c>
      <c r="D347" s="2" t="str">
        <f>[39]calculation!$P$25</f>
        <v>1M each / 2M total</v>
      </c>
      <c r="E347" s="5">
        <f>[39]calculation!$P$26</f>
        <v>0</v>
      </c>
      <c r="F347" s="32">
        <f>[39]calculation!$P$27</f>
        <v>0</v>
      </c>
      <c r="G347" s="2"/>
      <c r="H347" s="5">
        <f>[39]calculation!$P$28</f>
        <v>122400</v>
      </c>
      <c r="I347" s="2" t="str">
        <f>[39]calculation!$P$29</f>
        <v>Actual cash value</v>
      </c>
      <c r="J347" s="5">
        <f>[39]calculation!$P$30</f>
        <v>65.806451612903231</v>
      </c>
      <c r="K347" s="5">
        <f>[39]calculation!$P$31</f>
        <v>10000</v>
      </c>
      <c r="L347" s="35">
        <f>[39]calculation!$P$32</f>
        <v>0</v>
      </c>
      <c r="M347" s="2"/>
      <c r="N347" s="36" t="s">
        <v>142</v>
      </c>
      <c r="O347" s="5">
        <f>[39]calculation!$P$35</f>
        <v>10000</v>
      </c>
      <c r="P347" s="35">
        <f>[39]calculation!$P$36</f>
        <v>8.1699346405228759E-2</v>
      </c>
      <c r="Q347" s="2"/>
      <c r="R347" s="42" t="s">
        <v>145</v>
      </c>
      <c r="S347" s="5"/>
      <c r="T347" s="32">
        <f>[39]calculation!$P$37</f>
        <v>2706.9</v>
      </c>
      <c r="U347" s="2"/>
      <c r="V347" s="42" t="s">
        <v>145</v>
      </c>
      <c r="W347" s="5"/>
      <c r="X347" s="5"/>
      <c r="Y347" s="32"/>
      <c r="Z347" s="2"/>
      <c r="AA347" s="32"/>
      <c r="AB347" s="38">
        <f>[39]calculation!$P$48</f>
        <v>0</v>
      </c>
      <c r="AC347" s="6">
        <f>[39]calculation!$P$49</f>
        <v>0</v>
      </c>
      <c r="AD347" s="38">
        <f>AB347+AA347+Y347+T347+F347</f>
        <v>2706.9</v>
      </c>
      <c r="AE347" s="15" t="s">
        <v>149</v>
      </c>
      <c r="AF347" s="15" t="s">
        <v>149</v>
      </c>
      <c r="AG347" s="2"/>
      <c r="AH347" s="2" t="str">
        <f>[39]calculation!$P$22</f>
        <v>RealProtect</v>
      </c>
      <c r="AI347" s="39"/>
    </row>
    <row r="348" spans="1:38" ht="14.25" customHeight="1" x14ac:dyDescent="0.25">
      <c r="A348" s="142"/>
      <c r="B348" s="40"/>
      <c r="C348" s="41"/>
      <c r="D348" s="41"/>
      <c r="E348" s="41"/>
      <c r="F348" s="41"/>
      <c r="G348" s="41"/>
      <c r="H348" s="41"/>
      <c r="I348" s="41"/>
      <c r="J348" s="47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4"/>
      <c r="AJ348" s="41"/>
      <c r="AK348" s="41"/>
      <c r="AL348" s="41"/>
    </row>
    <row r="349" spans="1:38" ht="14.25" customHeight="1" x14ac:dyDescent="0.25">
      <c r="A349" s="142">
        <v>19</v>
      </c>
      <c r="B349" s="151" t="s">
        <v>176</v>
      </c>
      <c r="C349" s="31">
        <f>[40]calculation!$P$21</f>
        <v>45801</v>
      </c>
      <c r="D349" s="2" t="str">
        <f>[40]calculation!$P$25</f>
        <v>1M each / 2M total</v>
      </c>
      <c r="E349" s="5">
        <f>[40]calculation!$P$26</f>
        <v>0</v>
      </c>
      <c r="F349" s="32">
        <f>[40]calculation!$P$27</f>
        <v>0</v>
      </c>
      <c r="G349" s="2"/>
      <c r="H349" s="5">
        <f>[40]calculation!$P$28</f>
        <v>122400</v>
      </c>
      <c r="I349" s="2" t="str">
        <f>[40]calculation!$P$29</f>
        <v>Actual cash value</v>
      </c>
      <c r="J349" s="5">
        <f>[40]calculation!$P$30</f>
        <v>65.806451612903231</v>
      </c>
      <c r="K349" s="5">
        <f>[40]calculation!$P$31</f>
        <v>10000</v>
      </c>
      <c r="L349" s="35">
        <f>[40]calculation!$P$32</f>
        <v>0</v>
      </c>
      <c r="M349" s="2"/>
      <c r="N349" s="36" t="s">
        <v>142</v>
      </c>
      <c r="O349" s="5">
        <f>[40]calculation!$P$35</f>
        <v>10000</v>
      </c>
      <c r="P349" s="35">
        <f>[40]calculation!$P$36</f>
        <v>8.1699346405228759E-2</v>
      </c>
      <c r="Q349" s="2"/>
      <c r="R349" s="42" t="s">
        <v>145</v>
      </c>
      <c r="S349" s="5"/>
      <c r="T349" s="32">
        <f>[40]calculation!$P$37</f>
        <v>2706.9</v>
      </c>
      <c r="U349" s="2"/>
      <c r="V349" s="36" t="s">
        <v>142</v>
      </c>
      <c r="W349" s="5">
        <f>[40]calculation!$P$44</f>
        <v>250000</v>
      </c>
      <c r="X349" s="5">
        <f>[40]calculation!$P$43</f>
        <v>10000</v>
      </c>
      <c r="Y349" s="32">
        <f>[40]calculation!$P$45</f>
        <v>781.2</v>
      </c>
      <c r="Z349" s="2"/>
      <c r="AA349" s="32"/>
      <c r="AB349" s="38">
        <f>[40]calculation!$P$48</f>
        <v>0</v>
      </c>
      <c r="AC349" s="6">
        <f>[40]calculation!$P$49</f>
        <v>0</v>
      </c>
      <c r="AD349" s="38">
        <f>AB349+AA349+Y349+T349+F349</f>
        <v>3488.1000000000004</v>
      </c>
      <c r="AE349" s="15" t="s">
        <v>149</v>
      </c>
      <c r="AF349" s="15" t="s">
        <v>149</v>
      </c>
      <c r="AG349" s="2"/>
      <c r="AH349" s="2" t="str">
        <f>[40]calculation!$P$22</f>
        <v>RealProtect</v>
      </c>
      <c r="AI349" s="3"/>
    </row>
    <row r="350" spans="1:38" ht="14.25" customHeight="1" x14ac:dyDescent="0.25">
      <c r="A350" s="142"/>
      <c r="B350" s="40"/>
      <c r="C350" s="41"/>
      <c r="D350" s="41"/>
      <c r="E350" s="41"/>
      <c r="F350" s="41"/>
      <c r="G350" s="41"/>
      <c r="H350" s="41"/>
      <c r="I350" s="41"/>
      <c r="J350" s="47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4"/>
      <c r="AJ350" s="41"/>
      <c r="AK350" s="41"/>
      <c r="AL350" s="41"/>
    </row>
    <row r="351" spans="1:38" ht="14.25" customHeight="1" x14ac:dyDescent="0.25">
      <c r="A351" s="142">
        <v>20</v>
      </c>
      <c r="B351" s="151" t="s">
        <v>177</v>
      </c>
      <c r="C351" s="31">
        <f>[41]calculation!$P$23</f>
        <v>45801</v>
      </c>
      <c r="D351" s="2" t="str">
        <f>[41]calculation!$P$27</f>
        <v>1M each / 2M total</v>
      </c>
      <c r="E351" s="5">
        <f>[41]calculation!$P$28</f>
        <v>0</v>
      </c>
      <c r="F351" s="32">
        <f>[41]calculation!$P$29</f>
        <v>0</v>
      </c>
      <c r="G351" s="2"/>
      <c r="H351" s="5">
        <f>[41]calculation!$P$30</f>
        <v>181440</v>
      </c>
      <c r="I351" s="2" t="str">
        <f>[41]calculation!$P$31</f>
        <v>Actual cash value</v>
      </c>
      <c r="J351" s="5">
        <f>[41]calculation!$P$32</f>
        <v>60</v>
      </c>
      <c r="K351" s="5">
        <f>[41]calculation!$P$33</f>
        <v>10000</v>
      </c>
      <c r="L351" s="35">
        <f>[41]calculation!$P$34</f>
        <v>0</v>
      </c>
      <c r="M351" s="2"/>
      <c r="N351" s="36" t="s">
        <v>142</v>
      </c>
      <c r="O351" s="5">
        <f>[41]calculation!$P$37</f>
        <v>10000</v>
      </c>
      <c r="P351" s="35">
        <f>[41]calculation!$P$38</f>
        <v>5.5114638447971778E-2</v>
      </c>
      <c r="Q351" s="2"/>
      <c r="R351" s="42" t="s">
        <v>145</v>
      </c>
      <c r="S351" s="5"/>
      <c r="T351" s="32">
        <f>[41]calculation!$P$39</f>
        <v>4355.3999999999996</v>
      </c>
      <c r="U351" s="2"/>
      <c r="V351" s="42" t="s">
        <v>145</v>
      </c>
      <c r="W351" s="5"/>
      <c r="X351" s="5"/>
      <c r="Y351" s="32"/>
      <c r="Z351" s="2"/>
      <c r="AA351" s="32"/>
      <c r="AB351" s="38">
        <f>[41]calculation!$P$50</f>
        <v>0</v>
      </c>
      <c r="AC351" s="6">
        <f>[41]calculation!$P$51</f>
        <v>0</v>
      </c>
      <c r="AD351" s="38">
        <f>AB351+AA351+Y351+T351+F351</f>
        <v>4355.3999999999996</v>
      </c>
      <c r="AE351" s="15" t="s">
        <v>149</v>
      </c>
      <c r="AF351" s="15" t="s">
        <v>149</v>
      </c>
      <c r="AG351" s="2"/>
      <c r="AH351" s="2" t="str">
        <f>[41]calculation!$P$24</f>
        <v>RealProtect</v>
      </c>
      <c r="AI351" s="3"/>
    </row>
    <row r="352" spans="1:38" ht="14.25" customHeight="1" x14ac:dyDescent="0.25">
      <c r="A352" s="142"/>
      <c r="B352" s="40"/>
      <c r="C352" s="41"/>
      <c r="D352" s="41"/>
      <c r="E352" s="41"/>
      <c r="F352" s="41"/>
      <c r="G352" s="41"/>
      <c r="H352" s="41"/>
      <c r="I352" s="41"/>
      <c r="J352" s="47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4"/>
      <c r="AJ352" s="41"/>
      <c r="AK352" s="41"/>
      <c r="AL352" s="41"/>
    </row>
    <row r="353" spans="1:38" ht="14.25" customHeight="1" x14ac:dyDescent="0.25">
      <c r="A353" s="142">
        <v>21</v>
      </c>
      <c r="B353" s="151" t="s">
        <v>178</v>
      </c>
      <c r="C353" s="31">
        <f>[42]calculation!$P$23</f>
        <v>45801</v>
      </c>
      <c r="D353" s="2" t="str">
        <f>[42]calculation!$P$27</f>
        <v>1M each / 2M total</v>
      </c>
      <c r="E353" s="5">
        <f>[42]calculation!$P$28</f>
        <v>0</v>
      </c>
      <c r="F353" s="32">
        <f>[42]calculation!$P$29</f>
        <v>0</v>
      </c>
      <c r="G353" s="2"/>
      <c r="H353" s="5">
        <f>[42]calculation!$P$30</f>
        <v>181440</v>
      </c>
      <c r="I353" s="2" t="str">
        <f>[42]calculation!$P$31</f>
        <v>Actual cash value</v>
      </c>
      <c r="J353" s="5">
        <f>[42]calculation!$P$32</f>
        <v>60</v>
      </c>
      <c r="K353" s="5">
        <f>[42]calculation!$P$33</f>
        <v>10000</v>
      </c>
      <c r="L353" s="35">
        <f>[42]calculation!$P$34</f>
        <v>0</v>
      </c>
      <c r="M353" s="2"/>
      <c r="N353" s="36" t="s">
        <v>142</v>
      </c>
      <c r="O353" s="5">
        <f>[42]calculation!$P$37</f>
        <v>10000</v>
      </c>
      <c r="P353" s="35">
        <f>[42]calculation!$P$38</f>
        <v>5.5114638447971778E-2</v>
      </c>
      <c r="Q353" s="2"/>
      <c r="R353" s="42" t="s">
        <v>145</v>
      </c>
      <c r="S353" s="5"/>
      <c r="T353" s="32">
        <f>[42]calculation!$P$39</f>
        <v>4355.3999999999996</v>
      </c>
      <c r="U353" s="2"/>
      <c r="V353" s="42" t="s">
        <v>145</v>
      </c>
      <c r="W353" s="5"/>
      <c r="X353" s="5"/>
      <c r="Y353" s="32"/>
      <c r="Z353" s="2"/>
      <c r="AA353" s="32"/>
      <c r="AB353" s="38">
        <f>[42]calculation!$P$50</f>
        <v>0</v>
      </c>
      <c r="AC353" s="6">
        <f>[42]calculation!$P$51</f>
        <v>0</v>
      </c>
      <c r="AD353" s="38">
        <f>AB353+AA353+Y353+T353+F353</f>
        <v>4355.3999999999996</v>
      </c>
      <c r="AE353" s="15" t="s">
        <v>149</v>
      </c>
      <c r="AF353" s="15" t="s">
        <v>149</v>
      </c>
      <c r="AG353" s="2"/>
      <c r="AH353" s="2" t="str">
        <f>[42]calculation!$P$24</f>
        <v>RealProtect</v>
      </c>
      <c r="AI353" s="3"/>
    </row>
    <row r="354" spans="1:38" ht="14.25" customHeight="1" x14ac:dyDescent="0.25">
      <c r="A354" s="142"/>
      <c r="B354" s="40"/>
      <c r="C354" s="41"/>
      <c r="D354" s="41"/>
      <c r="E354" s="41"/>
      <c r="F354" s="41"/>
      <c r="G354" s="41"/>
      <c r="H354" s="41"/>
      <c r="I354" s="41"/>
      <c r="J354" s="47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4"/>
      <c r="AJ354" s="41"/>
      <c r="AK354" s="41"/>
      <c r="AL354" s="41"/>
    </row>
    <row r="355" spans="1:38" ht="14.25" customHeight="1" thickBot="1" x14ac:dyDescent="0.3">
      <c r="A355" s="142">
        <v>22</v>
      </c>
      <c r="B355" s="170" t="s">
        <v>183</v>
      </c>
      <c r="C355" s="84">
        <f>[43]calculation!$P$21</f>
        <v>45801</v>
      </c>
      <c r="D355" s="85" t="str">
        <f>[43]calculation!$P$25</f>
        <v>1M each / 2M total</v>
      </c>
      <c r="E355" s="28">
        <f>[43]calculation!$P$26</f>
        <v>0</v>
      </c>
      <c r="F355" s="86">
        <f>[43]calculation!$P$27</f>
        <v>0</v>
      </c>
      <c r="G355" s="85"/>
      <c r="H355" s="28">
        <f>[43]calculation!$P$28</f>
        <v>65520</v>
      </c>
      <c r="I355" s="85" t="str">
        <f>[43]calculation!$P$29</f>
        <v>Actual cash value</v>
      </c>
      <c r="J355" s="28">
        <f>[43]calculation!$P$30</f>
        <v>50.4</v>
      </c>
      <c r="K355" s="28">
        <f>[43]calculation!$P$31</f>
        <v>10000</v>
      </c>
      <c r="L355" s="87">
        <f>[43]calculation!$P$32</f>
        <v>0</v>
      </c>
      <c r="M355" s="85"/>
      <c r="N355" s="88" t="s">
        <v>142</v>
      </c>
      <c r="O355" s="28">
        <f>[43]calculation!$P$35</f>
        <v>10000</v>
      </c>
      <c r="P355" s="87">
        <f>[43]calculation!$P$36</f>
        <v>0.15262515262515264</v>
      </c>
      <c r="Q355" s="85"/>
      <c r="R355" s="89" t="s">
        <v>145</v>
      </c>
      <c r="S355" s="28"/>
      <c r="T355" s="86">
        <f>[43]calculation!$P$37</f>
        <v>1512</v>
      </c>
      <c r="U355" s="85"/>
      <c r="V355" s="89" t="s">
        <v>145</v>
      </c>
      <c r="W355" s="28"/>
      <c r="X355" s="28"/>
      <c r="Y355" s="86"/>
      <c r="Z355" s="85"/>
      <c r="AA355" s="86"/>
      <c r="AB355" s="90">
        <f>[43]calculation!$P$48</f>
        <v>0</v>
      </c>
      <c r="AC355" s="91">
        <f>[43]calculation!$P$49</f>
        <v>0</v>
      </c>
      <c r="AD355" s="90">
        <f>AB355+AA355+Y355+T355+F355</f>
        <v>1512</v>
      </c>
      <c r="AE355" s="137" t="s">
        <v>149</v>
      </c>
      <c r="AF355" s="137" t="s">
        <v>149</v>
      </c>
      <c r="AG355" s="85"/>
      <c r="AH355" s="85" t="str">
        <f>[43]calculation!$P$22</f>
        <v>RealProtect</v>
      </c>
      <c r="AI355" s="152"/>
      <c r="AJ355" s="92"/>
      <c r="AK355" s="92"/>
      <c r="AL355" s="92"/>
    </row>
    <row r="356" spans="1:38" ht="14.25" customHeight="1" thickTop="1" x14ac:dyDescent="0.25">
      <c r="B356" s="14" t="s">
        <v>8</v>
      </c>
      <c r="C356" s="15"/>
      <c r="D356" s="15"/>
      <c r="E356" s="15"/>
      <c r="F356" s="34">
        <f>SUM(F313:F355)</f>
        <v>0</v>
      </c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34">
        <f>SUM(T313:T355)</f>
        <v>68995.899999999994</v>
      </c>
      <c r="U356" s="15"/>
      <c r="V356" s="15"/>
      <c r="W356" s="15"/>
      <c r="X356" s="15"/>
      <c r="Y356" s="34">
        <f>SUM(Y313:Y355)</f>
        <v>2528.1999999999998</v>
      </c>
      <c r="Z356" s="15"/>
      <c r="AA356" s="34">
        <f>SUM(AA313:AA355)</f>
        <v>8.51</v>
      </c>
      <c r="AB356" s="34">
        <f>SUM(AB313:AB355)</f>
        <v>8.51</v>
      </c>
      <c r="AC356" s="16">
        <f>AVERAGE(AC313:AC355)</f>
        <v>0</v>
      </c>
      <c r="AD356" s="37">
        <f>SUM(AD313:AD355)</f>
        <v>72088.119999999981</v>
      </c>
      <c r="AE356" s="15"/>
      <c r="AF356" s="15"/>
      <c r="AG356" s="15"/>
      <c r="AH356" s="15"/>
      <c r="AI356" s="15"/>
      <c r="AJ356" s="15"/>
      <c r="AK356" s="15"/>
      <c r="AL356" s="15"/>
    </row>
    <row r="357" spans="1:38" ht="14.25" customHeight="1" x14ac:dyDescent="0.25">
      <c r="AC357" s="8" t="s">
        <v>9</v>
      </c>
    </row>
    <row r="358" spans="1:38" ht="14.25" customHeight="1" x14ac:dyDescent="0.25">
      <c r="AC358" s="8"/>
    </row>
    <row r="359" spans="1:38" ht="14.25" customHeight="1" x14ac:dyDescent="0.25"/>
    <row r="360" spans="1:38" ht="41.4" x14ac:dyDescent="0.25">
      <c r="C360" s="9" t="s">
        <v>42</v>
      </c>
      <c r="D360" s="9" t="s">
        <v>43</v>
      </c>
      <c r="E360" s="9" t="s">
        <v>44</v>
      </c>
      <c r="F360" s="9" t="s">
        <v>65</v>
      </c>
      <c r="H360" s="9" t="s">
        <v>45</v>
      </c>
      <c r="I360" s="9" t="s">
        <v>46</v>
      </c>
      <c r="J360" s="9" t="s">
        <v>47</v>
      </c>
      <c r="K360" s="9" t="s">
        <v>48</v>
      </c>
      <c r="L360" s="9" t="s">
        <v>49</v>
      </c>
      <c r="N360" s="9" t="s">
        <v>50</v>
      </c>
      <c r="O360" s="9" t="s">
        <v>51</v>
      </c>
      <c r="P360" s="9" t="s">
        <v>52</v>
      </c>
      <c r="Q360" s="9"/>
      <c r="R360" s="9" t="s">
        <v>53</v>
      </c>
      <c r="S360" s="9" t="s">
        <v>54</v>
      </c>
      <c r="T360" s="9" t="s">
        <v>64</v>
      </c>
      <c r="V360" s="9" t="s">
        <v>55</v>
      </c>
      <c r="W360" s="9" t="s">
        <v>56</v>
      </c>
      <c r="X360" s="9" t="s">
        <v>57</v>
      </c>
      <c r="Y360" s="9" t="s">
        <v>63</v>
      </c>
      <c r="AA360" s="9" t="s">
        <v>58</v>
      </c>
      <c r="AB360" s="9" t="s">
        <v>59</v>
      </c>
      <c r="AC360" s="9" t="s">
        <v>60</v>
      </c>
      <c r="AD360" s="9" t="s">
        <v>68</v>
      </c>
      <c r="AE360" s="9" t="s">
        <v>61</v>
      </c>
      <c r="AF360" s="9" t="s">
        <v>62</v>
      </c>
      <c r="AG360" s="9"/>
      <c r="AH360" s="9" t="s">
        <v>66</v>
      </c>
      <c r="AI360" s="9" t="s">
        <v>67</v>
      </c>
    </row>
    <row r="361" spans="1:38" s="11" customFormat="1" ht="31.8" customHeight="1" x14ac:dyDescent="0.25">
      <c r="B361" s="160" t="s">
        <v>180</v>
      </c>
      <c r="C361" s="165"/>
      <c r="D361" s="165"/>
      <c r="E361" s="165"/>
      <c r="F361" s="161">
        <f>SUM(F356,F307,F296,F271)</f>
        <v>124904.15000000001</v>
      </c>
      <c r="G361" s="165"/>
      <c r="H361" s="165"/>
      <c r="I361" s="165"/>
      <c r="J361" s="165"/>
      <c r="K361" s="165"/>
      <c r="L361" s="165"/>
      <c r="M361" s="165"/>
      <c r="N361" s="165"/>
      <c r="O361" s="165"/>
      <c r="P361" s="165"/>
      <c r="Q361" s="165"/>
      <c r="R361" s="165"/>
      <c r="S361" s="165"/>
      <c r="T361" s="161">
        <f>SUM(T356,T307,T296,T271)</f>
        <v>575918.41</v>
      </c>
      <c r="U361" s="165"/>
      <c r="V361" s="165"/>
      <c r="W361" s="165"/>
      <c r="X361" s="165"/>
      <c r="Y361" s="161">
        <f>SUM(Y356,Y307,Y296,Y271)</f>
        <v>55083.069999999992</v>
      </c>
      <c r="Z361" s="165"/>
      <c r="AA361" s="161">
        <f>SUM(AA356,AA307,AA296,AA271)</f>
        <v>12329.36</v>
      </c>
      <c r="AB361" s="161">
        <f>SUM(AB356,AB307,AB296,AB271)</f>
        <v>16914.890000000003</v>
      </c>
      <c r="AC361" s="164">
        <f>AVERAGE(AC356,AC307,AC296,AC271)</f>
        <v>8.2940000000000014E-2</v>
      </c>
      <c r="AD361" s="166">
        <f>SUM(AD356,AD307,AD296,AD271)</f>
        <v>785696.87999999989</v>
      </c>
      <c r="AE361" s="165"/>
      <c r="AF361" s="165"/>
      <c r="AG361" s="165"/>
      <c r="AH361" s="165"/>
      <c r="AI361" s="165"/>
      <c r="AJ361" s="165"/>
      <c r="AK361" s="165"/>
      <c r="AL361" s="165"/>
    </row>
    <row r="362" spans="1:38" ht="14.25" customHeight="1" x14ac:dyDescent="0.25">
      <c r="AC362" s="8" t="s">
        <v>9</v>
      </c>
    </row>
    <row r="363" spans="1:38" ht="14.25" customHeight="1" x14ac:dyDescent="0.25">
      <c r="AC363" s="8"/>
    </row>
    <row r="364" spans="1:38" ht="14.25" customHeight="1" x14ac:dyDescent="0.25"/>
    <row r="365" spans="1:38" ht="14.25" customHeight="1" x14ac:dyDescent="0.25"/>
    <row r="366" spans="1:38" ht="14.25" customHeight="1" x14ac:dyDescent="0.25"/>
    <row r="367" spans="1:38" ht="21" x14ac:dyDescent="0.4">
      <c r="B367" s="102" t="s">
        <v>41</v>
      </c>
    </row>
    <row r="368" spans="1:38" ht="45" customHeight="1" x14ac:dyDescent="0.25">
      <c r="A368" s="9"/>
      <c r="B368" s="10" t="s">
        <v>147</v>
      </c>
      <c r="C368" s="9">
        <v>2016</v>
      </c>
      <c r="D368" s="9">
        <v>2017</v>
      </c>
      <c r="E368" s="9">
        <v>2018</v>
      </c>
      <c r="F368" s="9">
        <v>2019</v>
      </c>
      <c r="G368" s="9">
        <v>2020</v>
      </c>
      <c r="H368" s="9">
        <v>2021</v>
      </c>
      <c r="I368" s="9">
        <v>2022</v>
      </c>
      <c r="J368" s="9">
        <v>2023</v>
      </c>
      <c r="K368" s="9">
        <v>2024</v>
      </c>
      <c r="L368" s="9">
        <v>2025</v>
      </c>
      <c r="M368" s="9">
        <v>2026</v>
      </c>
      <c r="N368" s="9" t="s">
        <v>113</v>
      </c>
      <c r="O368" s="9" t="s">
        <v>75</v>
      </c>
    </row>
    <row r="369" spans="1:16" ht="14.25" customHeight="1" x14ac:dyDescent="0.25">
      <c r="A369" s="142">
        <v>1</v>
      </c>
      <c r="B369" s="19" t="s">
        <v>19</v>
      </c>
      <c r="C369" s="5">
        <v>41969.89</v>
      </c>
      <c r="D369" s="5">
        <v>42006.28</v>
      </c>
      <c r="E369" s="5">
        <v>42006.34</v>
      </c>
      <c r="F369" s="5">
        <v>42042.720000000001</v>
      </c>
      <c r="G369" s="5">
        <v>33078.47</v>
      </c>
      <c r="H369" s="5">
        <v>29462.84</v>
      </c>
      <c r="I369" s="65">
        <v>32180.93</v>
      </c>
      <c r="J369" s="65">
        <v>32180.93</v>
      </c>
      <c r="K369" s="65">
        <v>32184.78</v>
      </c>
      <c r="L369" s="59" t="s">
        <v>73</v>
      </c>
      <c r="N369" s="31">
        <v>45931</v>
      </c>
      <c r="O369" s="61" t="s">
        <v>77</v>
      </c>
    </row>
    <row r="370" spans="1:16" ht="14.25" customHeight="1" x14ac:dyDescent="0.25">
      <c r="A370" s="142"/>
      <c r="B370" s="40"/>
      <c r="C370" s="41"/>
      <c r="D370" s="41"/>
      <c r="E370" s="41"/>
      <c r="F370" s="41"/>
      <c r="G370" s="41"/>
      <c r="H370" s="41"/>
      <c r="I370" s="41"/>
      <c r="J370" s="46"/>
      <c r="K370" s="41"/>
      <c r="L370" s="46"/>
      <c r="M370" s="41"/>
      <c r="N370" s="41"/>
      <c r="O370" s="41"/>
      <c r="P370" s="41"/>
    </row>
    <row r="371" spans="1:16" ht="14.25" customHeight="1" x14ac:dyDescent="0.25">
      <c r="A371" s="142">
        <v>2</v>
      </c>
      <c r="B371" s="19" t="s">
        <v>20</v>
      </c>
      <c r="C371" s="51">
        <v>7000</v>
      </c>
      <c r="D371" s="51">
        <v>7000</v>
      </c>
      <c r="E371" s="5">
        <v>7537.91</v>
      </c>
      <c r="F371" s="5">
        <v>7537.91</v>
      </c>
      <c r="G371" s="5">
        <v>7932.91</v>
      </c>
      <c r="H371" s="5">
        <v>8437.91</v>
      </c>
      <c r="I371" s="65">
        <v>7503.6</v>
      </c>
      <c r="J371" s="65">
        <v>15709.44</v>
      </c>
      <c r="K371" s="65">
        <v>15709.44</v>
      </c>
      <c r="L371" s="65">
        <v>20295.95</v>
      </c>
      <c r="N371" s="31">
        <v>45657</v>
      </c>
      <c r="O371" s="58" t="s">
        <v>76</v>
      </c>
    </row>
    <row r="372" spans="1:16" ht="14.25" customHeight="1" x14ac:dyDescent="0.25">
      <c r="A372" s="142"/>
      <c r="B372" s="40"/>
      <c r="C372" s="41"/>
      <c r="D372" s="41"/>
      <c r="E372" s="41"/>
      <c r="F372" s="41"/>
      <c r="G372" s="41"/>
      <c r="H372" s="41"/>
      <c r="I372" s="41"/>
      <c r="J372" s="46"/>
      <c r="K372" s="41"/>
      <c r="L372" s="46"/>
      <c r="M372" s="41"/>
      <c r="N372" s="41"/>
      <c r="O372" s="41"/>
      <c r="P372" s="41"/>
    </row>
    <row r="373" spans="1:16" ht="14.25" customHeight="1" x14ac:dyDescent="0.25">
      <c r="A373" s="142">
        <v>3</v>
      </c>
      <c r="B373" s="19" t="s">
        <v>21</v>
      </c>
      <c r="C373" s="5">
        <v>24325.94</v>
      </c>
      <c r="D373" s="5">
        <v>26758.61</v>
      </c>
      <c r="E373" s="5">
        <v>29191.279999999999</v>
      </c>
      <c r="F373" s="5">
        <v>31623.95</v>
      </c>
      <c r="G373" s="5">
        <v>32222.720000000001</v>
      </c>
      <c r="H373" s="5">
        <v>32222.720000000001</v>
      </c>
      <c r="I373" s="65">
        <v>35445</v>
      </c>
      <c r="J373" s="65">
        <v>37282.080000000002</v>
      </c>
      <c r="K373" s="65">
        <v>37282.080000000002</v>
      </c>
      <c r="L373" s="59" t="s">
        <v>73</v>
      </c>
      <c r="N373" s="31">
        <v>45768</v>
      </c>
      <c r="O373" s="58" t="s">
        <v>78</v>
      </c>
    </row>
    <row r="374" spans="1:16" ht="14.25" customHeight="1" x14ac:dyDescent="0.25">
      <c r="A374" s="142"/>
      <c r="B374" s="40"/>
      <c r="C374" s="41"/>
      <c r="D374" s="41"/>
      <c r="E374" s="41"/>
      <c r="F374" s="41"/>
      <c r="G374" s="41"/>
      <c r="H374" s="41"/>
      <c r="I374" s="41"/>
      <c r="J374" s="46"/>
      <c r="K374" s="41"/>
      <c r="L374" s="46"/>
      <c r="M374" s="41"/>
      <c r="N374" s="41"/>
      <c r="O374" s="41"/>
      <c r="P374" s="41"/>
    </row>
    <row r="375" spans="1:16" ht="14.25" customHeight="1" x14ac:dyDescent="0.25">
      <c r="A375" s="142">
        <v>4</v>
      </c>
      <c r="B375" s="19" t="s">
        <v>22</v>
      </c>
      <c r="C375" s="5">
        <v>79971.16</v>
      </c>
      <c r="D375" s="5">
        <v>66598.789999999994</v>
      </c>
      <c r="E375" s="5">
        <v>93069.46</v>
      </c>
      <c r="F375" s="5">
        <v>90823.64</v>
      </c>
      <c r="G375" s="5">
        <v>96571.47</v>
      </c>
      <c r="H375" s="5">
        <v>74216.81</v>
      </c>
      <c r="I375" s="5">
        <v>56019.81</v>
      </c>
      <c r="J375" s="65">
        <v>40332.97</v>
      </c>
      <c r="K375" s="65">
        <v>39550.06</v>
      </c>
      <c r="L375" s="65">
        <v>41955.63</v>
      </c>
      <c r="N375" s="31">
        <v>45626</v>
      </c>
      <c r="O375" s="58" t="s">
        <v>79</v>
      </c>
    </row>
    <row r="376" spans="1:16" ht="14.25" customHeight="1" x14ac:dyDescent="0.25">
      <c r="A376" s="142"/>
      <c r="B376" s="40"/>
      <c r="C376" s="41"/>
      <c r="D376" s="41"/>
      <c r="E376" s="41"/>
      <c r="F376" s="41"/>
      <c r="G376" s="41"/>
      <c r="H376" s="41"/>
      <c r="I376" s="41"/>
      <c r="J376" s="46"/>
      <c r="K376" s="41"/>
      <c r="L376" s="46"/>
      <c r="M376" s="41"/>
      <c r="N376" s="41"/>
      <c r="O376" s="41"/>
      <c r="P376" s="41"/>
    </row>
    <row r="377" spans="1:16" ht="14.25" customHeight="1" x14ac:dyDescent="0.25">
      <c r="A377" s="142">
        <v>5</v>
      </c>
      <c r="B377" s="19" t="s">
        <v>23</v>
      </c>
      <c r="C377" s="5">
        <v>14078.1</v>
      </c>
      <c r="D377" s="5">
        <v>10361.99</v>
      </c>
      <c r="E377" s="5">
        <v>13854.09</v>
      </c>
      <c r="F377" s="5">
        <v>29353.45</v>
      </c>
      <c r="G377" s="5">
        <v>29796.7</v>
      </c>
      <c r="H377" s="65">
        <v>32013.05</v>
      </c>
      <c r="I377" s="65">
        <v>34818.589999999997</v>
      </c>
      <c r="J377" s="65">
        <v>36743.65</v>
      </c>
      <c r="K377" s="65">
        <v>39204.14</v>
      </c>
      <c r="L377" s="65">
        <v>42782.73</v>
      </c>
      <c r="N377" s="31">
        <v>45626</v>
      </c>
      <c r="O377" s="214" t="s">
        <v>80</v>
      </c>
    </row>
    <row r="378" spans="1:16" ht="14.25" customHeight="1" x14ac:dyDescent="0.25">
      <c r="A378" s="142"/>
      <c r="B378" s="40"/>
      <c r="C378" s="41"/>
      <c r="D378" s="41"/>
      <c r="E378" s="41"/>
      <c r="F378" s="41"/>
      <c r="G378" s="41"/>
      <c r="H378" s="41"/>
      <c r="I378" s="41"/>
      <c r="J378" s="46"/>
      <c r="K378" s="41"/>
      <c r="L378" s="46"/>
      <c r="M378" s="41"/>
      <c r="N378" s="41"/>
      <c r="O378" s="41"/>
      <c r="P378" s="41"/>
    </row>
    <row r="379" spans="1:16" ht="14.25" customHeight="1" x14ac:dyDescent="0.25">
      <c r="A379" s="142">
        <v>6</v>
      </c>
      <c r="B379" s="19" t="s">
        <v>24</v>
      </c>
      <c r="C379" s="5">
        <v>39472.199999999997</v>
      </c>
      <c r="D379" s="5">
        <v>35553.58</v>
      </c>
      <c r="E379" s="5">
        <v>29745.09</v>
      </c>
      <c r="F379" s="5">
        <v>30549.79</v>
      </c>
      <c r="G379" s="5">
        <v>24088.85</v>
      </c>
      <c r="H379" s="5">
        <v>37834.400000000001</v>
      </c>
      <c r="I379" s="65">
        <v>20164.650000000001</v>
      </c>
      <c r="J379" s="65">
        <v>19319.509999999998</v>
      </c>
      <c r="K379" s="65">
        <v>18182.810000000001</v>
      </c>
      <c r="L379" s="65">
        <v>17342.490000000002</v>
      </c>
      <c r="N379" s="31">
        <v>45636</v>
      </c>
      <c r="O379" s="60" t="s">
        <v>81</v>
      </c>
    </row>
    <row r="380" spans="1:16" ht="14.25" customHeight="1" x14ac:dyDescent="0.25">
      <c r="A380" s="142"/>
      <c r="B380" s="19"/>
      <c r="C380" s="62">
        <v>6041.59</v>
      </c>
      <c r="D380" s="5">
        <v>5750.54</v>
      </c>
      <c r="E380" s="5">
        <v>4853.71</v>
      </c>
      <c r="F380" s="5">
        <v>4966.9799999999996</v>
      </c>
      <c r="G380" s="5">
        <v>2869.73</v>
      </c>
      <c r="H380" s="5">
        <v>5027.67</v>
      </c>
      <c r="I380" s="65">
        <v>4593.9399999999996</v>
      </c>
      <c r="J380" s="65">
        <v>7869.63</v>
      </c>
      <c r="K380" s="65">
        <v>7395.34</v>
      </c>
      <c r="L380" s="65">
        <v>7057.73</v>
      </c>
      <c r="N380" s="2"/>
      <c r="O380" s="60" t="s">
        <v>82</v>
      </c>
    </row>
    <row r="381" spans="1:16" ht="14.25" customHeight="1" x14ac:dyDescent="0.25">
      <c r="A381" s="142"/>
      <c r="B381" s="40"/>
      <c r="C381" s="41"/>
      <c r="D381" s="41"/>
      <c r="E381" s="41"/>
      <c r="F381" s="41"/>
      <c r="G381" s="41"/>
      <c r="H381" s="41"/>
      <c r="I381" s="41"/>
      <c r="J381" s="46"/>
      <c r="K381" s="41"/>
      <c r="L381" s="46"/>
      <c r="M381" s="41"/>
      <c r="N381" s="41"/>
      <c r="O381" s="41"/>
      <c r="P381" s="41"/>
    </row>
    <row r="382" spans="1:16" ht="14.25" customHeight="1" x14ac:dyDescent="0.25">
      <c r="A382" s="142">
        <v>7</v>
      </c>
      <c r="B382" s="19" t="s">
        <v>25</v>
      </c>
      <c r="C382" s="5">
        <v>39534</v>
      </c>
      <c r="D382" s="5">
        <v>42357.63</v>
      </c>
      <c r="E382" s="5">
        <v>42492.81</v>
      </c>
      <c r="F382" s="5">
        <v>42492.81</v>
      </c>
      <c r="G382" s="5">
        <v>42492.81</v>
      </c>
      <c r="H382" s="5">
        <v>42492.81</v>
      </c>
      <c r="I382" s="5">
        <v>42492.81</v>
      </c>
      <c r="J382" s="65">
        <v>36992.5</v>
      </c>
      <c r="K382" s="65">
        <v>18292.509999999998</v>
      </c>
      <c r="L382" s="59" t="s">
        <v>73</v>
      </c>
      <c r="N382" s="57"/>
      <c r="O382" s="60" t="s">
        <v>83</v>
      </c>
    </row>
    <row r="383" spans="1:16" ht="14.25" customHeight="1" x14ac:dyDescent="0.25">
      <c r="A383" s="142"/>
      <c r="B383" s="40"/>
      <c r="C383" s="41"/>
      <c r="D383" s="41"/>
      <c r="E383" s="41"/>
      <c r="F383" s="41"/>
      <c r="G383" s="41"/>
      <c r="H383" s="41"/>
      <c r="I383" s="41"/>
      <c r="J383" s="46"/>
      <c r="K383" s="41"/>
      <c r="L383" s="46"/>
      <c r="M383" s="41"/>
      <c r="N383" s="41"/>
      <c r="O383" s="41"/>
      <c r="P383" s="41"/>
    </row>
    <row r="384" spans="1:16" ht="13.95" customHeight="1" x14ac:dyDescent="0.25">
      <c r="A384" s="142">
        <v>8</v>
      </c>
      <c r="B384" s="3" t="s">
        <v>26</v>
      </c>
      <c r="C384" s="5">
        <v>21561.32</v>
      </c>
      <c r="D384" s="5">
        <v>15456.37</v>
      </c>
      <c r="E384" s="5">
        <v>15252.23</v>
      </c>
      <c r="F384" s="5">
        <v>18038.580000000002</v>
      </c>
      <c r="G384" s="5">
        <v>18927.55</v>
      </c>
      <c r="H384" s="65">
        <v>19711.27</v>
      </c>
      <c r="I384" s="65">
        <v>14033.52</v>
      </c>
      <c r="J384" s="65">
        <v>18198.75</v>
      </c>
      <c r="K384" s="65">
        <v>18580.759999999998</v>
      </c>
      <c r="L384" s="65">
        <v>20577.28</v>
      </c>
      <c r="N384" s="31">
        <v>45626</v>
      </c>
      <c r="O384" s="60" t="s">
        <v>84</v>
      </c>
    </row>
    <row r="385" spans="1:16" ht="13.95" customHeight="1" x14ac:dyDescent="0.25">
      <c r="A385" s="142"/>
      <c r="B385" s="60" t="s">
        <v>87</v>
      </c>
      <c r="C385" s="5">
        <v>403.95</v>
      </c>
      <c r="D385" s="5">
        <v>501.02</v>
      </c>
      <c r="E385" s="5">
        <v>384.92</v>
      </c>
      <c r="F385" s="5">
        <v>378.02</v>
      </c>
      <c r="G385" s="5">
        <v>367.79</v>
      </c>
      <c r="H385" s="65">
        <v>362.11</v>
      </c>
      <c r="I385" s="65">
        <v>669.76</v>
      </c>
      <c r="J385" s="65">
        <v>693.07</v>
      </c>
      <c r="K385" s="65">
        <v>759.14</v>
      </c>
      <c r="L385" s="65">
        <v>836.81</v>
      </c>
      <c r="N385" s="31">
        <v>45626</v>
      </c>
      <c r="O385" s="60" t="s">
        <v>86</v>
      </c>
    </row>
    <row r="386" spans="1:16" ht="13.95" customHeight="1" x14ac:dyDescent="0.25">
      <c r="A386" s="142"/>
      <c r="B386" s="40"/>
      <c r="C386" s="41"/>
      <c r="D386" s="41"/>
      <c r="E386" s="41"/>
      <c r="F386" s="41"/>
      <c r="G386" s="41"/>
      <c r="H386" s="41"/>
      <c r="I386" s="41"/>
      <c r="J386" s="46"/>
      <c r="K386" s="41"/>
      <c r="L386" s="46"/>
      <c r="M386" s="41"/>
      <c r="N386" s="41"/>
      <c r="O386" s="41"/>
      <c r="P386" s="41"/>
    </row>
    <row r="387" spans="1:16" ht="14.25" customHeight="1" x14ac:dyDescent="0.25">
      <c r="A387" s="142">
        <v>9</v>
      </c>
      <c r="B387" s="19" t="s">
        <v>27</v>
      </c>
      <c r="C387" s="5">
        <v>23140.99</v>
      </c>
      <c r="D387" s="5">
        <v>20471.55</v>
      </c>
      <c r="E387" s="5">
        <v>21972.86</v>
      </c>
      <c r="F387" s="5">
        <v>21962.34</v>
      </c>
      <c r="G387" s="5">
        <v>21717.07</v>
      </c>
      <c r="H387" s="65">
        <v>27247.06</v>
      </c>
      <c r="I387" s="65">
        <v>35154.6</v>
      </c>
      <c r="J387" s="65">
        <v>42449.8</v>
      </c>
      <c r="K387" s="65">
        <v>43059.93</v>
      </c>
      <c r="L387" s="65">
        <v>48637.32</v>
      </c>
      <c r="N387" s="31">
        <v>45626</v>
      </c>
      <c r="O387" s="60" t="s">
        <v>88</v>
      </c>
    </row>
    <row r="388" spans="1:16" ht="14.25" customHeight="1" x14ac:dyDescent="0.25">
      <c r="A388" s="142"/>
      <c r="B388" s="40"/>
      <c r="C388" s="41"/>
      <c r="D388" s="41"/>
      <c r="E388" s="41"/>
      <c r="F388" s="41"/>
      <c r="G388" s="41"/>
      <c r="H388" s="41"/>
      <c r="I388" s="41"/>
      <c r="J388" s="46"/>
      <c r="K388" s="41"/>
      <c r="L388" s="46"/>
      <c r="M388" s="41"/>
      <c r="N388" s="41"/>
      <c r="O388" s="41"/>
      <c r="P388" s="41"/>
    </row>
    <row r="389" spans="1:16" ht="14.25" customHeight="1" x14ac:dyDescent="0.25">
      <c r="A389" s="142">
        <v>10</v>
      </c>
      <c r="B389" s="60" t="s">
        <v>89</v>
      </c>
      <c r="C389" s="59" t="s">
        <v>73</v>
      </c>
      <c r="D389" s="59" t="s">
        <v>73</v>
      </c>
      <c r="E389" s="59" t="s">
        <v>73</v>
      </c>
      <c r="F389" s="59" t="s">
        <v>73</v>
      </c>
      <c r="G389" s="5">
        <v>34319.26</v>
      </c>
      <c r="H389" s="65">
        <v>34165.43</v>
      </c>
      <c r="I389" s="65">
        <v>39502.76</v>
      </c>
      <c r="J389" s="65">
        <v>51094.05</v>
      </c>
      <c r="K389" s="65">
        <v>52500.92</v>
      </c>
      <c r="L389" s="65">
        <v>58239.48</v>
      </c>
      <c r="N389" s="31">
        <v>45626</v>
      </c>
      <c r="O389" s="60" t="s">
        <v>91</v>
      </c>
    </row>
    <row r="390" spans="1:16" ht="14.25" customHeight="1" x14ac:dyDescent="0.25">
      <c r="A390" s="142"/>
      <c r="B390" s="60" t="s">
        <v>90</v>
      </c>
      <c r="C390" s="5">
        <v>38554.339999999997</v>
      </c>
      <c r="D390" s="5">
        <v>30892.82</v>
      </c>
      <c r="E390" s="5">
        <v>29794.42</v>
      </c>
      <c r="F390" s="5">
        <v>30862.26</v>
      </c>
      <c r="G390" s="5">
        <v>33929.879999999997</v>
      </c>
      <c r="H390" s="65">
        <v>26459.94</v>
      </c>
      <c r="I390" s="65">
        <v>59787.98</v>
      </c>
      <c r="J390" s="65">
        <v>72753.06</v>
      </c>
      <c r="K390" s="65">
        <v>75877.34</v>
      </c>
      <c r="L390" s="65">
        <v>83084.78</v>
      </c>
      <c r="N390" s="31">
        <v>45626</v>
      </c>
      <c r="O390" s="60" t="s">
        <v>92</v>
      </c>
    </row>
    <row r="391" spans="1:16" ht="14.25" customHeight="1" x14ac:dyDescent="0.25">
      <c r="A391" s="142"/>
      <c r="B391" s="40"/>
      <c r="C391" s="41"/>
      <c r="D391" s="41"/>
      <c r="E391" s="41"/>
      <c r="F391" s="41"/>
      <c r="G391" s="41"/>
      <c r="H391" s="41"/>
      <c r="I391" s="41"/>
      <c r="J391" s="46"/>
      <c r="K391" s="41"/>
      <c r="L391" s="46"/>
      <c r="M391" s="41"/>
      <c r="N391" s="41"/>
      <c r="O391" s="41"/>
      <c r="P391" s="41"/>
    </row>
    <row r="392" spans="1:16" ht="14.25" customHeight="1" x14ac:dyDescent="0.25">
      <c r="A392" s="142">
        <v>11</v>
      </c>
      <c r="B392" s="64" t="s">
        <v>29</v>
      </c>
      <c r="C392" s="5">
        <v>5674.68</v>
      </c>
      <c r="D392" s="5">
        <v>7075.54</v>
      </c>
      <c r="E392" s="5">
        <v>7476.64</v>
      </c>
      <c r="F392" s="5">
        <v>7486.24</v>
      </c>
      <c r="G392" s="65">
        <v>8328.58</v>
      </c>
      <c r="H392" s="65">
        <v>9089.24</v>
      </c>
      <c r="I392" s="65">
        <v>9080.82</v>
      </c>
      <c r="J392" s="65">
        <v>11620.06</v>
      </c>
      <c r="K392" s="65">
        <v>11922.42</v>
      </c>
      <c r="L392" s="65">
        <v>13132.96</v>
      </c>
      <c r="N392" s="31">
        <v>45626</v>
      </c>
      <c r="O392" s="60" t="s">
        <v>93</v>
      </c>
    </row>
    <row r="393" spans="1:16" ht="14.25" customHeight="1" x14ac:dyDescent="0.25">
      <c r="A393" s="142"/>
      <c r="C393" s="5">
        <v>2211.98</v>
      </c>
      <c r="D393" s="5">
        <v>2836.97</v>
      </c>
      <c r="E393" s="5">
        <v>3000.79</v>
      </c>
      <c r="F393" s="5">
        <v>3026.28</v>
      </c>
      <c r="G393" s="32">
        <v>3719.18</v>
      </c>
      <c r="H393" s="32">
        <v>4881</v>
      </c>
      <c r="I393" s="32">
        <v>4876.54</v>
      </c>
      <c r="J393" s="32">
        <v>6256.57</v>
      </c>
      <c r="K393" s="32">
        <v>6421.09</v>
      </c>
      <c r="L393" s="32">
        <v>7209.45</v>
      </c>
      <c r="O393" s="69" t="s">
        <v>111</v>
      </c>
    </row>
    <row r="394" spans="1:16" ht="14.25" customHeight="1" x14ac:dyDescent="0.25">
      <c r="A394" s="142"/>
      <c r="B394" s="40"/>
      <c r="C394" s="41"/>
      <c r="D394" s="41"/>
      <c r="E394" s="41"/>
      <c r="F394" s="41"/>
      <c r="G394" s="41"/>
      <c r="H394" s="41"/>
      <c r="I394" s="41"/>
      <c r="J394" s="46"/>
      <c r="K394" s="41"/>
      <c r="L394" s="46"/>
      <c r="M394" s="41"/>
      <c r="N394" s="41"/>
      <c r="O394" s="41"/>
      <c r="P394" s="41"/>
    </row>
    <row r="395" spans="1:16" ht="14.25" customHeight="1" x14ac:dyDescent="0.25">
      <c r="A395" s="142">
        <v>12</v>
      </c>
      <c r="B395" s="60" t="s">
        <v>96</v>
      </c>
      <c r="C395" s="59" t="s">
        <v>73</v>
      </c>
      <c r="D395" s="59" t="s">
        <v>73</v>
      </c>
      <c r="E395" s="59" t="s">
        <v>73</v>
      </c>
      <c r="F395" s="59" t="s">
        <v>73</v>
      </c>
      <c r="G395" s="59" t="s">
        <v>73</v>
      </c>
      <c r="H395" s="59" t="s">
        <v>73</v>
      </c>
      <c r="I395" s="59" t="s">
        <v>73</v>
      </c>
      <c r="J395" s="65">
        <v>115857.07</v>
      </c>
      <c r="K395" s="65">
        <v>116288.81</v>
      </c>
      <c r="L395" s="65">
        <v>116065.79</v>
      </c>
      <c r="N395" s="57"/>
      <c r="O395" s="60" t="s">
        <v>95</v>
      </c>
    </row>
    <row r="396" spans="1:16" ht="14.25" customHeight="1" x14ac:dyDescent="0.25">
      <c r="A396" s="142"/>
      <c r="B396" s="52" t="s">
        <v>96</v>
      </c>
      <c r="C396" s="59" t="s">
        <v>73</v>
      </c>
      <c r="D396" s="59" t="s">
        <v>73</v>
      </c>
      <c r="E396" s="59" t="s">
        <v>73</v>
      </c>
      <c r="F396" s="59" t="s">
        <v>73</v>
      </c>
      <c r="G396" s="59" t="s">
        <v>73</v>
      </c>
      <c r="H396" s="59" t="s">
        <v>73</v>
      </c>
      <c r="I396" s="59" t="s">
        <v>73</v>
      </c>
      <c r="J396" s="65">
        <v>16667.73</v>
      </c>
      <c r="K396" s="65">
        <v>16737.189999999999</v>
      </c>
      <c r="L396" s="65">
        <v>17132.16</v>
      </c>
      <c r="N396" s="2"/>
      <c r="O396" s="60" t="s">
        <v>97</v>
      </c>
    </row>
    <row r="397" spans="1:16" ht="14.25" customHeight="1" x14ac:dyDescent="0.25">
      <c r="A397" s="142"/>
      <c r="B397" s="52" t="s">
        <v>102</v>
      </c>
      <c r="C397" s="59" t="s">
        <v>73</v>
      </c>
      <c r="D397" s="59" t="s">
        <v>73</v>
      </c>
      <c r="E397" s="59" t="s">
        <v>73</v>
      </c>
      <c r="F397" s="59" t="s">
        <v>73</v>
      </c>
      <c r="G397" s="59" t="s">
        <v>73</v>
      </c>
      <c r="H397" s="59" t="s">
        <v>73</v>
      </c>
      <c r="I397" s="59" t="s">
        <v>73</v>
      </c>
      <c r="J397" s="65">
        <v>9810.1</v>
      </c>
      <c r="K397" s="65">
        <v>9842.1200000000008</v>
      </c>
      <c r="L397" s="65">
        <v>10079.629999999999</v>
      </c>
      <c r="N397" s="2"/>
      <c r="O397" s="60" t="s">
        <v>98</v>
      </c>
    </row>
    <row r="398" spans="1:16" ht="14.25" customHeight="1" x14ac:dyDescent="0.25">
      <c r="A398" s="142"/>
      <c r="B398" s="52" t="s">
        <v>101</v>
      </c>
      <c r="C398" s="59" t="s">
        <v>73</v>
      </c>
      <c r="D398" s="59" t="s">
        <v>73</v>
      </c>
      <c r="E398" s="59" t="s">
        <v>73</v>
      </c>
      <c r="F398" s="59" t="s">
        <v>73</v>
      </c>
      <c r="G398" s="59" t="s">
        <v>73</v>
      </c>
      <c r="H398" s="59" t="s">
        <v>73</v>
      </c>
      <c r="I398" s="59" t="s">
        <v>73</v>
      </c>
      <c r="J398" s="65">
        <v>254.48</v>
      </c>
      <c r="K398" s="65">
        <v>256.56</v>
      </c>
      <c r="L398" s="65">
        <v>263.06</v>
      </c>
      <c r="N398" s="2"/>
      <c r="O398" s="204" t="s">
        <v>99</v>
      </c>
    </row>
    <row r="399" spans="1:16" ht="14.25" customHeight="1" x14ac:dyDescent="0.25">
      <c r="A399" s="142"/>
      <c r="B399" s="40"/>
      <c r="C399" s="41"/>
      <c r="D399" s="41"/>
      <c r="E399" s="41"/>
      <c r="F399" s="41"/>
      <c r="G399" s="41"/>
      <c r="H399" s="41"/>
      <c r="I399" s="41"/>
      <c r="J399" s="46"/>
      <c r="K399" s="41"/>
      <c r="L399" s="46"/>
      <c r="M399" s="41"/>
      <c r="N399" s="41"/>
      <c r="O399" s="41"/>
      <c r="P399" s="41"/>
    </row>
    <row r="400" spans="1:16" ht="14.25" customHeight="1" x14ac:dyDescent="0.25">
      <c r="A400" s="142">
        <v>13</v>
      </c>
      <c r="B400" s="30" t="s">
        <v>32</v>
      </c>
      <c r="C400" s="5">
        <v>36147.980000000003</v>
      </c>
      <c r="D400" s="5">
        <v>54232.98</v>
      </c>
      <c r="E400" s="5">
        <v>46137.87</v>
      </c>
      <c r="F400" s="5">
        <v>45190.09</v>
      </c>
      <c r="G400" s="5">
        <v>44819.51</v>
      </c>
      <c r="H400" s="5">
        <v>43868.26</v>
      </c>
      <c r="I400" s="5">
        <v>39967.46</v>
      </c>
      <c r="J400" s="5">
        <v>29701.82</v>
      </c>
      <c r="K400" s="76">
        <v>28739.32</v>
      </c>
      <c r="L400" s="76">
        <v>37699.339999999997</v>
      </c>
      <c r="N400" s="31">
        <v>45636</v>
      </c>
      <c r="O400" s="204" t="s">
        <v>100</v>
      </c>
    </row>
    <row r="401" spans="1:16" ht="14.25" customHeight="1" x14ac:dyDescent="0.25">
      <c r="A401" s="142"/>
    </row>
    <row r="402" spans="1:16" ht="14.25" customHeight="1" x14ac:dyDescent="0.25">
      <c r="A402" s="142">
        <v>14</v>
      </c>
      <c r="B402" s="19" t="s">
        <v>112</v>
      </c>
      <c r="C402" s="5">
        <v>89715.96</v>
      </c>
      <c r="D402" s="5">
        <v>88614.06</v>
      </c>
      <c r="E402" s="5">
        <v>84605.04</v>
      </c>
      <c r="F402" s="5">
        <v>80939.960000000006</v>
      </c>
      <c r="G402" s="5">
        <v>105182.26</v>
      </c>
      <c r="H402" s="5">
        <v>99419.34</v>
      </c>
      <c r="I402" s="5">
        <v>89824.91</v>
      </c>
      <c r="J402" s="5">
        <v>108332.12</v>
      </c>
      <c r="K402" s="62">
        <v>106281.02</v>
      </c>
      <c r="L402" s="62">
        <v>155045.74</v>
      </c>
      <c r="N402" s="31">
        <v>46078</v>
      </c>
      <c r="O402" s="204" t="s">
        <v>205</v>
      </c>
    </row>
    <row r="403" spans="1:16" ht="14.25" customHeight="1" x14ac:dyDescent="0.25">
      <c r="A403" s="142"/>
      <c r="B403" s="70"/>
      <c r="C403" s="71"/>
      <c r="D403" s="71"/>
      <c r="E403" s="71"/>
      <c r="F403" s="71"/>
      <c r="G403" s="71"/>
      <c r="H403" s="71"/>
      <c r="I403" s="71"/>
      <c r="J403" s="71"/>
      <c r="K403" s="72"/>
      <c r="L403" s="46"/>
      <c r="M403" s="41"/>
      <c r="N403" s="73"/>
      <c r="O403" s="41"/>
      <c r="P403" s="41"/>
    </row>
    <row r="404" spans="1:16" ht="14.25" customHeight="1" x14ac:dyDescent="0.25">
      <c r="A404" s="142">
        <v>15</v>
      </c>
      <c r="B404" s="30" t="s">
        <v>140</v>
      </c>
      <c r="C404" s="59" t="s">
        <v>73</v>
      </c>
      <c r="D404" s="59" t="s">
        <v>73</v>
      </c>
      <c r="E404" s="59" t="s">
        <v>73</v>
      </c>
      <c r="F404" s="59" t="s">
        <v>73</v>
      </c>
      <c r="G404" s="59" t="s">
        <v>73</v>
      </c>
      <c r="H404" s="59" t="s">
        <v>73</v>
      </c>
      <c r="I404" s="5">
        <v>4064</v>
      </c>
      <c r="J404" s="5">
        <v>4147</v>
      </c>
      <c r="K404" s="62">
        <v>4283</v>
      </c>
      <c r="L404" s="76">
        <v>4199.3500000000004</v>
      </c>
      <c r="N404" s="31">
        <v>45657</v>
      </c>
      <c r="O404" s="204" t="s">
        <v>206</v>
      </c>
      <c r="P404" s="2"/>
    </row>
    <row r="405" spans="1:16" ht="14.25" customHeight="1" x14ac:dyDescent="0.25">
      <c r="A405" s="2"/>
      <c r="B405" s="30"/>
      <c r="C405" s="59" t="s">
        <v>73</v>
      </c>
      <c r="D405" s="59" t="s">
        <v>73</v>
      </c>
      <c r="E405" s="59" t="s">
        <v>73</v>
      </c>
      <c r="F405" s="59" t="s">
        <v>73</v>
      </c>
      <c r="G405" s="59" t="s">
        <v>73</v>
      </c>
      <c r="H405" s="59" t="s">
        <v>73</v>
      </c>
      <c r="I405" s="5">
        <v>580</v>
      </c>
      <c r="J405" s="5">
        <v>588</v>
      </c>
      <c r="K405" s="62">
        <v>615</v>
      </c>
      <c r="L405" s="76">
        <v>601.03</v>
      </c>
      <c r="N405" s="57"/>
      <c r="O405" s="204" t="s">
        <v>207</v>
      </c>
      <c r="P405" s="2"/>
    </row>
    <row r="406" spans="1:16" ht="14.25" customHeight="1" x14ac:dyDescent="0.25">
      <c r="A406" s="2"/>
      <c r="B406" s="30"/>
      <c r="C406" s="59" t="s">
        <v>73</v>
      </c>
      <c r="D406" s="59" t="s">
        <v>73</v>
      </c>
      <c r="E406" s="59" t="s">
        <v>73</v>
      </c>
      <c r="F406" s="59" t="s">
        <v>73</v>
      </c>
      <c r="G406" s="59" t="s">
        <v>73</v>
      </c>
      <c r="H406" s="59" t="s">
        <v>73</v>
      </c>
      <c r="I406" s="5">
        <v>2370</v>
      </c>
      <c r="J406" s="5">
        <v>2418</v>
      </c>
      <c r="K406" s="62">
        <v>2497</v>
      </c>
      <c r="L406" s="76">
        <v>2448.27</v>
      </c>
      <c r="N406" s="57"/>
      <c r="O406" s="204" t="s">
        <v>208</v>
      </c>
      <c r="P406" s="2"/>
    </row>
    <row r="407" spans="1:16" ht="14.25" customHeight="1" thickBot="1" x14ac:dyDescent="0.3">
      <c r="B407" s="74"/>
      <c r="C407" s="207" t="s">
        <v>73</v>
      </c>
      <c r="D407" s="207" t="s">
        <v>73</v>
      </c>
      <c r="E407" s="207" t="s">
        <v>73</v>
      </c>
      <c r="F407" s="207" t="s">
        <v>73</v>
      </c>
      <c r="G407" s="207" t="s">
        <v>73</v>
      </c>
      <c r="H407" s="207" t="s">
        <v>73</v>
      </c>
      <c r="I407" s="28">
        <v>58787</v>
      </c>
      <c r="J407" s="28">
        <v>59988</v>
      </c>
      <c r="K407" s="75">
        <v>75570</v>
      </c>
      <c r="L407" s="203">
        <v>74100.75</v>
      </c>
      <c r="M407" s="75"/>
      <c r="O407" s="204" t="s">
        <v>209</v>
      </c>
    </row>
    <row r="408" spans="1:16" ht="14.25" customHeight="1" thickTop="1" x14ac:dyDescent="0.25">
      <c r="B408" s="14" t="s">
        <v>8</v>
      </c>
      <c r="C408" s="34">
        <f t="shared" ref="C408:H408" si="39">SUM(C369:C402)</f>
        <v>469804.07999999996</v>
      </c>
      <c r="D408" s="34">
        <f t="shared" si="39"/>
        <v>456468.72999999992</v>
      </c>
      <c r="E408" s="34">
        <f t="shared" si="39"/>
        <v>471375.45999999985</v>
      </c>
      <c r="F408" s="34">
        <f t="shared" si="39"/>
        <v>487275.02000000008</v>
      </c>
      <c r="G408" s="34">
        <f t="shared" si="39"/>
        <v>540364.74</v>
      </c>
      <c r="H408" s="34">
        <f t="shared" si="39"/>
        <v>526911.86</v>
      </c>
      <c r="I408" s="34">
        <f>SUM(I369:I407)</f>
        <v>591918.67999999993</v>
      </c>
      <c r="J408" s="34">
        <f>SUM(J369:J407)</f>
        <v>777260.3899999999</v>
      </c>
      <c r="K408" s="34">
        <f>SUM(K369:K407)</f>
        <v>778032.78</v>
      </c>
      <c r="L408" s="34">
        <f t="shared" ref="L408:M408" si="40">SUM(L369:L407)</f>
        <v>778787.73</v>
      </c>
      <c r="M408" s="34">
        <f t="shared" si="40"/>
        <v>0</v>
      </c>
      <c r="N408" s="2"/>
    </row>
    <row r="409" spans="1:16" ht="14.25" customHeight="1" x14ac:dyDescent="0.25">
      <c r="B409" s="66" t="s">
        <v>85</v>
      </c>
      <c r="C409" s="33"/>
      <c r="D409" s="33"/>
      <c r="E409" s="33"/>
      <c r="F409" s="33"/>
      <c r="G409" s="32">
        <f>SUM(G392:G394)</f>
        <v>12047.76</v>
      </c>
      <c r="H409" s="32">
        <f>SUM(H384:H392)+H377</f>
        <v>149048.1</v>
      </c>
      <c r="I409" s="32">
        <f>SUM(I384:I392,I380,I379,I377,I373,I371,I369)</f>
        <v>292936.15000000002</v>
      </c>
      <c r="J409" s="32">
        <f>SUM(J369:J398)</f>
        <v>572085.44999999995</v>
      </c>
      <c r="K409" s="32">
        <f>SUM(K369:K400)</f>
        <v>588786.76</v>
      </c>
      <c r="L409" s="32">
        <f>SUM(L369:L407)</f>
        <v>778787.73</v>
      </c>
      <c r="M409" s="32">
        <f t="shared" ref="M409" si="41">SUM(M369:M400)</f>
        <v>0</v>
      </c>
      <c r="N409" s="2"/>
    </row>
    <row r="410" spans="1:16" ht="14.25" customHeight="1" x14ac:dyDescent="0.25"/>
    <row r="411" spans="1:16" ht="14.25" customHeight="1" x14ac:dyDescent="0.25"/>
    <row r="412" spans="1:16" ht="14.25" customHeight="1" x14ac:dyDescent="0.25"/>
    <row r="413" spans="1:16" ht="49.8" customHeight="1" x14ac:dyDescent="0.25">
      <c r="A413" s="9"/>
      <c r="B413" s="10" t="s">
        <v>186</v>
      </c>
      <c r="C413" s="9">
        <v>2016</v>
      </c>
      <c r="D413" s="9">
        <v>2017</v>
      </c>
      <c r="E413" s="9">
        <v>2018</v>
      </c>
      <c r="F413" s="9">
        <v>2019</v>
      </c>
      <c r="G413" s="9">
        <v>2020</v>
      </c>
      <c r="H413" s="9">
        <v>2021</v>
      </c>
      <c r="I413" s="9">
        <v>2022</v>
      </c>
      <c r="J413" s="9">
        <v>2023</v>
      </c>
      <c r="K413" s="9">
        <v>2024</v>
      </c>
      <c r="L413" s="9">
        <v>2025</v>
      </c>
      <c r="M413" s="9">
        <v>2026</v>
      </c>
      <c r="N413" s="9" t="s">
        <v>113</v>
      </c>
      <c r="O413" s="9" t="s">
        <v>75</v>
      </c>
    </row>
    <row r="414" spans="1:16" ht="14.25" customHeight="1" x14ac:dyDescent="0.25">
      <c r="A414" s="142">
        <v>1</v>
      </c>
      <c r="B414" s="151" t="s">
        <v>153</v>
      </c>
      <c r="C414" s="5">
        <v>33346.370000000003</v>
      </c>
      <c r="D414" s="5">
        <v>33315.57</v>
      </c>
      <c r="E414" s="5">
        <v>33616.019999999997</v>
      </c>
      <c r="F414" s="5">
        <v>33338.699999999997</v>
      </c>
      <c r="G414" s="5">
        <v>53840.01</v>
      </c>
      <c r="H414" s="5">
        <v>46210.66</v>
      </c>
      <c r="I414" s="5">
        <v>41696.26</v>
      </c>
      <c r="J414" s="5">
        <v>40905.18</v>
      </c>
      <c r="K414" s="5">
        <v>43475.34</v>
      </c>
      <c r="L414" s="76">
        <v>43772.72</v>
      </c>
      <c r="N414" s="31">
        <v>46315</v>
      </c>
      <c r="O414" s="204" t="s">
        <v>210</v>
      </c>
    </row>
    <row r="415" spans="1:16" ht="14.25" customHeight="1" x14ac:dyDescent="0.25">
      <c r="A415" s="142"/>
      <c r="B415" s="151"/>
      <c r="C415" s="5">
        <v>2329.33</v>
      </c>
      <c r="D415" s="5">
        <v>2327.17</v>
      </c>
      <c r="E415" s="5">
        <v>2471.67</v>
      </c>
      <c r="F415" s="5">
        <v>2452.09</v>
      </c>
      <c r="G415" s="5">
        <v>2918.01</v>
      </c>
      <c r="H415" s="5">
        <v>2334.67</v>
      </c>
      <c r="I415" s="5">
        <v>2136.87</v>
      </c>
      <c r="J415" s="5">
        <v>2102.65</v>
      </c>
      <c r="K415" s="5">
        <v>1240.8599999999999</v>
      </c>
      <c r="L415" s="76">
        <v>1435.5</v>
      </c>
      <c r="O415" s="204" t="s">
        <v>211</v>
      </c>
    </row>
    <row r="416" spans="1:16" ht="14.25" customHeight="1" x14ac:dyDescent="0.25">
      <c r="A416" s="142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</row>
    <row r="417" spans="1:16" ht="14.25" customHeight="1" x14ac:dyDescent="0.25">
      <c r="A417" s="142">
        <v>2</v>
      </c>
      <c r="B417" s="172" t="s">
        <v>185</v>
      </c>
      <c r="C417" s="5">
        <v>29918.33</v>
      </c>
      <c r="D417" s="5">
        <v>30587.48</v>
      </c>
      <c r="E417" s="5">
        <v>30538.91</v>
      </c>
      <c r="F417" s="5">
        <v>30922.04</v>
      </c>
      <c r="G417" s="5">
        <v>26202.3</v>
      </c>
      <c r="H417" s="5">
        <v>27810.06</v>
      </c>
      <c r="I417" s="5">
        <v>25437.08</v>
      </c>
      <c r="J417" s="5">
        <v>25304.63</v>
      </c>
      <c r="K417" s="5">
        <v>22939.79</v>
      </c>
      <c r="L417" s="76">
        <v>21879.62</v>
      </c>
      <c r="N417" s="31">
        <v>45657</v>
      </c>
      <c r="O417" s="205" t="s">
        <v>212</v>
      </c>
    </row>
    <row r="418" spans="1:16" ht="14.25" customHeight="1" x14ac:dyDescent="0.25">
      <c r="A418" s="142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</row>
    <row r="419" spans="1:16" ht="14.25" customHeight="1" x14ac:dyDescent="0.25">
      <c r="A419" s="142">
        <v>3</v>
      </c>
      <c r="B419" s="19"/>
    </row>
    <row r="420" spans="1:16" ht="14.25" customHeight="1" x14ac:dyDescent="0.25">
      <c r="A420" s="142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</row>
    <row r="421" spans="1:16" ht="14.25" customHeight="1" x14ac:dyDescent="0.25">
      <c r="A421" s="142">
        <v>4</v>
      </c>
      <c r="B421" s="19"/>
    </row>
    <row r="422" spans="1:16" ht="14.25" customHeight="1" x14ac:dyDescent="0.25">
      <c r="A422" s="142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</row>
    <row r="423" spans="1:16" ht="14.25" customHeight="1" x14ac:dyDescent="0.25">
      <c r="A423" s="142">
        <v>5</v>
      </c>
      <c r="B423" s="19"/>
    </row>
    <row r="424" spans="1:16" ht="14.25" customHeight="1" x14ac:dyDescent="0.25">
      <c r="A424" s="142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</row>
    <row r="425" spans="1:16" ht="14.25" customHeight="1" x14ac:dyDescent="0.25">
      <c r="A425" s="142">
        <v>6</v>
      </c>
      <c r="B425" s="19"/>
    </row>
    <row r="426" spans="1:16" ht="14.25" customHeight="1" x14ac:dyDescent="0.25">
      <c r="A426" s="142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</row>
    <row r="427" spans="1:16" ht="14.25" customHeight="1" x14ac:dyDescent="0.25">
      <c r="A427" s="142">
        <v>7</v>
      </c>
      <c r="B427" s="19"/>
    </row>
    <row r="428" spans="1:16" ht="14.25" customHeight="1" x14ac:dyDescent="0.25">
      <c r="A428" s="142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</row>
    <row r="429" spans="1:16" ht="14.25" customHeight="1" x14ac:dyDescent="0.25">
      <c r="A429" s="142">
        <v>8</v>
      </c>
      <c r="B429" s="3"/>
    </row>
    <row r="430" spans="1:16" ht="14.25" customHeight="1" x14ac:dyDescent="0.25">
      <c r="A430" s="142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</row>
    <row r="431" spans="1:16" ht="14.25" customHeight="1" x14ac:dyDescent="0.25">
      <c r="A431" s="142">
        <v>9</v>
      </c>
      <c r="B431" s="19"/>
    </row>
    <row r="432" spans="1:16" ht="14.25" customHeight="1" x14ac:dyDescent="0.25">
      <c r="A432" s="142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</row>
    <row r="433" spans="1:16" ht="14.25" customHeight="1" x14ac:dyDescent="0.25">
      <c r="A433" s="142"/>
      <c r="B433" s="206" t="s">
        <v>200</v>
      </c>
      <c r="C433" s="5">
        <v>2260.9299999999998</v>
      </c>
      <c r="D433" s="5">
        <v>2460.9299999999998</v>
      </c>
      <c r="E433" s="5">
        <v>2328.4299999999998</v>
      </c>
      <c r="F433" s="5">
        <v>1743.43</v>
      </c>
      <c r="G433" s="5">
        <v>1219.0999999999999</v>
      </c>
      <c r="H433" s="5">
        <v>1219.0999999999999</v>
      </c>
      <c r="I433" s="5">
        <v>984.04</v>
      </c>
      <c r="J433" s="5">
        <v>1307.56</v>
      </c>
      <c r="K433" s="5">
        <v>1307.56</v>
      </c>
      <c r="L433" s="5">
        <v>1307.56</v>
      </c>
      <c r="M433" s="19"/>
      <c r="N433" s="31">
        <v>45626</v>
      </c>
      <c r="O433" s="204" t="s">
        <v>213</v>
      </c>
      <c r="P433" s="19"/>
    </row>
    <row r="434" spans="1:16" ht="14.25" customHeight="1" thickBot="1" x14ac:dyDescent="0.3">
      <c r="A434" s="142">
        <v>10</v>
      </c>
      <c r="B434" s="198"/>
      <c r="C434" s="207" t="s">
        <v>73</v>
      </c>
      <c r="D434" s="207" t="s">
        <v>73</v>
      </c>
      <c r="E434" s="207" t="s">
        <v>73</v>
      </c>
      <c r="F434" s="207" t="s">
        <v>73</v>
      </c>
      <c r="G434" s="207" t="s">
        <v>73</v>
      </c>
      <c r="H434" s="207" t="s">
        <v>73</v>
      </c>
      <c r="I434" s="207" t="s">
        <v>73</v>
      </c>
      <c r="J434" s="207" t="s">
        <v>73</v>
      </c>
      <c r="K434" s="28">
        <v>9737.7199999999993</v>
      </c>
      <c r="L434" s="28">
        <v>4309.09</v>
      </c>
      <c r="M434" s="75"/>
      <c r="O434" s="205" t="s">
        <v>214</v>
      </c>
    </row>
    <row r="435" spans="1:16" ht="14.25" customHeight="1" thickTop="1" x14ac:dyDescent="0.25">
      <c r="B435" s="14" t="s">
        <v>8</v>
      </c>
      <c r="C435" s="34">
        <f>SUM(C414:C434)</f>
        <v>67854.959999999992</v>
      </c>
      <c r="D435" s="34">
        <f t="shared" ref="D435:L435" si="42">SUM(D414:D434)</f>
        <v>68691.149999999994</v>
      </c>
      <c r="E435" s="34">
        <f t="shared" si="42"/>
        <v>68955.029999999984</v>
      </c>
      <c r="F435" s="34">
        <f t="shared" si="42"/>
        <v>68456.25999999998</v>
      </c>
      <c r="G435" s="34">
        <f t="shared" si="42"/>
        <v>84179.420000000013</v>
      </c>
      <c r="H435" s="34">
        <f t="shared" si="42"/>
        <v>77574.490000000005</v>
      </c>
      <c r="I435" s="34">
        <f t="shared" si="42"/>
        <v>70254.25</v>
      </c>
      <c r="J435" s="34">
        <f t="shared" si="42"/>
        <v>69620.02</v>
      </c>
      <c r="K435" s="34">
        <f t="shared" si="42"/>
        <v>78701.26999999999</v>
      </c>
      <c r="L435" s="34">
        <f t="shared" si="42"/>
        <v>72704.489999999991</v>
      </c>
      <c r="M435" s="34">
        <v>0</v>
      </c>
    </row>
    <row r="436" spans="1:16" ht="14.25" customHeight="1" x14ac:dyDescent="0.25">
      <c r="B436" s="66" t="s">
        <v>85</v>
      </c>
      <c r="C436" s="33"/>
      <c r="D436" s="33"/>
      <c r="E436" s="33"/>
      <c r="F436" s="33"/>
      <c r="G436" s="32">
        <v>0</v>
      </c>
      <c r="H436" s="32">
        <v>0</v>
      </c>
      <c r="I436" s="32">
        <v>0</v>
      </c>
      <c r="J436" s="32">
        <v>0</v>
      </c>
      <c r="K436" s="32">
        <v>0</v>
      </c>
      <c r="L436" s="32">
        <f>SUM(L414:L417)</f>
        <v>67087.839999999997</v>
      </c>
      <c r="M436" s="32">
        <v>0</v>
      </c>
    </row>
    <row r="437" spans="1:16" ht="14.25" customHeight="1" x14ac:dyDescent="0.25"/>
    <row r="438" spans="1:16" ht="14.25" customHeight="1" x14ac:dyDescent="0.25"/>
    <row r="439" spans="1:16" ht="14.25" customHeight="1" x14ac:dyDescent="0.25"/>
    <row r="440" spans="1:16" ht="49.8" customHeight="1" x14ac:dyDescent="0.25">
      <c r="A440" s="9"/>
      <c r="B440" s="10" t="s">
        <v>148</v>
      </c>
      <c r="C440" s="9">
        <v>2016</v>
      </c>
      <c r="D440" s="9">
        <v>2017</v>
      </c>
      <c r="E440" s="9">
        <v>2018</v>
      </c>
      <c r="F440" s="9">
        <v>2019</v>
      </c>
      <c r="G440" s="9">
        <v>2020</v>
      </c>
      <c r="H440" s="9">
        <v>2021</v>
      </c>
      <c r="I440" s="9">
        <v>2022</v>
      </c>
      <c r="J440" s="9">
        <v>2023</v>
      </c>
      <c r="K440" s="9">
        <v>2024</v>
      </c>
      <c r="L440" s="9">
        <v>2025</v>
      </c>
      <c r="M440" s="9">
        <v>2026</v>
      </c>
      <c r="N440" s="9" t="s">
        <v>113</v>
      </c>
      <c r="O440" s="9" t="s">
        <v>75</v>
      </c>
    </row>
    <row r="441" spans="1:16" ht="14.25" customHeight="1" x14ac:dyDescent="0.25">
      <c r="A441" s="142">
        <v>1</v>
      </c>
      <c r="B441" s="151" t="s">
        <v>155</v>
      </c>
      <c r="C441" s="59" t="s">
        <v>73</v>
      </c>
      <c r="D441" s="59" t="s">
        <v>73</v>
      </c>
      <c r="E441" s="5">
        <v>7489.04</v>
      </c>
      <c r="F441" s="32">
        <v>8133.41</v>
      </c>
      <c r="G441" s="32">
        <v>9793.84</v>
      </c>
      <c r="H441" s="32">
        <v>9638.39</v>
      </c>
      <c r="I441" s="32">
        <v>10465.64</v>
      </c>
      <c r="J441" s="32">
        <v>11170.74</v>
      </c>
      <c r="K441" s="32">
        <v>11570.51</v>
      </c>
      <c r="L441" s="208">
        <v>13805.52</v>
      </c>
      <c r="M441" s="5"/>
      <c r="N441" s="31">
        <v>45626</v>
      </c>
      <c r="O441" s="205" t="s">
        <v>215</v>
      </c>
    </row>
    <row r="442" spans="1:16" ht="14.25" customHeight="1" x14ac:dyDescent="0.25">
      <c r="A442" s="142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</row>
    <row r="443" spans="1:16" ht="14.25" customHeight="1" x14ac:dyDescent="0.25">
      <c r="A443" s="142">
        <v>2</v>
      </c>
      <c r="B443" s="151" t="s">
        <v>156</v>
      </c>
      <c r="C443" s="5">
        <v>22590.66</v>
      </c>
      <c r="D443" s="5">
        <v>24106.58</v>
      </c>
      <c r="E443" s="5">
        <v>20420.57</v>
      </c>
      <c r="F443" s="5">
        <v>16374.39</v>
      </c>
      <c r="G443" s="32">
        <v>17061.150000000001</v>
      </c>
      <c r="H443" s="32">
        <v>14700.67</v>
      </c>
      <c r="I443" s="32">
        <v>14110.88</v>
      </c>
      <c r="J443" s="32">
        <v>14241</v>
      </c>
      <c r="K443" s="32">
        <v>15329.88</v>
      </c>
      <c r="L443" s="208">
        <v>15752.95</v>
      </c>
      <c r="N443" s="31">
        <v>45626</v>
      </c>
      <c r="O443" s="216" t="s">
        <v>216</v>
      </c>
    </row>
    <row r="444" spans="1:16" ht="14.25" customHeight="1" x14ac:dyDescent="0.25">
      <c r="A444" s="142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</row>
    <row r="445" spans="1:16" ht="14.25" customHeight="1" thickBot="1" x14ac:dyDescent="0.3">
      <c r="A445" s="142">
        <v>3</v>
      </c>
      <c r="B445" s="155" t="s">
        <v>157</v>
      </c>
      <c r="C445" s="28">
        <v>4063.38</v>
      </c>
      <c r="D445" s="28">
        <v>4529.78</v>
      </c>
      <c r="E445" s="28">
        <v>4861.7299999999996</v>
      </c>
      <c r="F445" s="86">
        <v>5141.12</v>
      </c>
      <c r="G445" s="86">
        <v>5351.04</v>
      </c>
      <c r="H445" s="86">
        <v>7128.48</v>
      </c>
      <c r="I445" s="86">
        <v>7335.87</v>
      </c>
      <c r="J445" s="86">
        <v>9325.7900000000009</v>
      </c>
      <c r="K445" s="86">
        <v>10091.19</v>
      </c>
      <c r="L445" s="210">
        <v>9722.92</v>
      </c>
      <c r="M445" s="92"/>
      <c r="N445" s="31">
        <v>45626</v>
      </c>
      <c r="O445" s="205" t="s">
        <v>217</v>
      </c>
    </row>
    <row r="446" spans="1:16" ht="14.25" customHeight="1" thickTop="1" x14ac:dyDescent="0.25">
      <c r="B446" s="14" t="s">
        <v>8</v>
      </c>
      <c r="C446" s="34">
        <f>SUM(C441:C445)</f>
        <v>26654.04</v>
      </c>
      <c r="D446" s="34">
        <f t="shared" ref="D446:M446" si="43">SUM(D441:D445)</f>
        <v>28636.36</v>
      </c>
      <c r="E446" s="34">
        <f t="shared" si="43"/>
        <v>32771.339999999997</v>
      </c>
      <c r="F446" s="34">
        <f t="shared" si="43"/>
        <v>29648.92</v>
      </c>
      <c r="G446" s="34">
        <f t="shared" si="43"/>
        <v>32206.030000000002</v>
      </c>
      <c r="H446" s="34">
        <f t="shared" si="43"/>
        <v>31467.539999999997</v>
      </c>
      <c r="I446" s="34">
        <f t="shared" si="43"/>
        <v>31912.389999999996</v>
      </c>
      <c r="J446" s="34">
        <f t="shared" si="43"/>
        <v>34737.53</v>
      </c>
      <c r="K446" s="34">
        <f t="shared" si="43"/>
        <v>36991.58</v>
      </c>
      <c r="L446" s="34">
        <f t="shared" si="43"/>
        <v>39281.39</v>
      </c>
      <c r="M446" s="34">
        <f t="shared" si="43"/>
        <v>0</v>
      </c>
    </row>
    <row r="447" spans="1:16" ht="14.25" customHeight="1" x14ac:dyDescent="0.25">
      <c r="B447" s="66" t="s">
        <v>85</v>
      </c>
      <c r="C447" s="33"/>
      <c r="D447" s="33"/>
      <c r="E447" s="33"/>
      <c r="F447" s="32">
        <f>SUM(F441,F445)</f>
        <v>13274.529999999999</v>
      </c>
      <c r="G447" s="32">
        <f>SUM(G441:G445)</f>
        <v>32206.030000000002</v>
      </c>
      <c r="H447" s="32">
        <f t="shared" ref="H447:M447" si="44">SUM(H441:H445)</f>
        <v>31467.539999999997</v>
      </c>
      <c r="I447" s="32">
        <f t="shared" si="44"/>
        <v>31912.389999999996</v>
      </c>
      <c r="J447" s="32">
        <f t="shared" si="44"/>
        <v>34737.53</v>
      </c>
      <c r="K447" s="32">
        <f t="shared" si="44"/>
        <v>36991.58</v>
      </c>
      <c r="L447" s="32">
        <f t="shared" si="44"/>
        <v>39281.39</v>
      </c>
      <c r="M447" s="32">
        <f t="shared" si="44"/>
        <v>0</v>
      </c>
    </row>
    <row r="448" spans="1:16" ht="14.25" customHeight="1" x14ac:dyDescent="0.25"/>
    <row r="449" spans="1:16" ht="14.25" customHeight="1" x14ac:dyDescent="0.25"/>
    <row r="450" spans="1:16" ht="14.25" customHeight="1" x14ac:dyDescent="0.25"/>
    <row r="451" spans="1:16" ht="49.8" customHeight="1" x14ac:dyDescent="0.25">
      <c r="A451" s="9"/>
      <c r="B451" s="10" t="s">
        <v>152</v>
      </c>
      <c r="C451" s="9">
        <v>2016</v>
      </c>
      <c r="D451" s="9">
        <v>2017</v>
      </c>
      <c r="E451" s="9">
        <v>2018</v>
      </c>
      <c r="F451" s="9">
        <v>2019</v>
      </c>
      <c r="G451" s="9">
        <v>2020</v>
      </c>
      <c r="H451" s="9">
        <v>2021</v>
      </c>
      <c r="I451" s="9">
        <v>2022</v>
      </c>
      <c r="J451" s="9">
        <v>2023</v>
      </c>
      <c r="K451" s="9">
        <v>2024</v>
      </c>
      <c r="L451" s="9">
        <v>2025</v>
      </c>
      <c r="M451" s="9">
        <v>2026</v>
      </c>
      <c r="N451" s="9" t="s">
        <v>113</v>
      </c>
      <c r="O451" s="9" t="s">
        <v>75</v>
      </c>
    </row>
    <row r="452" spans="1:16" ht="14.25" customHeight="1" x14ac:dyDescent="0.25">
      <c r="A452" s="142">
        <v>1</v>
      </c>
      <c r="B452" s="19" t="s">
        <v>158</v>
      </c>
      <c r="C452" s="59" t="s">
        <v>73</v>
      </c>
      <c r="D452" s="59" t="s">
        <v>73</v>
      </c>
      <c r="E452" s="59" t="s">
        <v>73</v>
      </c>
      <c r="F452" s="59" t="s">
        <v>73</v>
      </c>
      <c r="G452" s="5">
        <v>2221.6999999999998</v>
      </c>
      <c r="H452" s="5">
        <v>3223.68</v>
      </c>
      <c r="I452" s="32">
        <v>3247.13</v>
      </c>
      <c r="J452" s="32">
        <v>5354.66</v>
      </c>
      <c r="K452" s="32">
        <v>5203.17</v>
      </c>
      <c r="L452" s="32">
        <v>5334.17</v>
      </c>
      <c r="N452" s="31">
        <v>45626</v>
      </c>
      <c r="O452" s="205" t="s">
        <v>218</v>
      </c>
    </row>
    <row r="453" spans="1:16" ht="14.25" customHeight="1" x14ac:dyDescent="0.25">
      <c r="A453" s="142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</row>
    <row r="454" spans="1:16" ht="14.25" customHeight="1" x14ac:dyDescent="0.25">
      <c r="A454" s="142">
        <v>2</v>
      </c>
      <c r="B454" t="s">
        <v>159</v>
      </c>
      <c r="C454" s="59" t="s">
        <v>73</v>
      </c>
      <c r="D454" s="59" t="s">
        <v>73</v>
      </c>
      <c r="E454" s="5">
        <v>2297.0300000000002</v>
      </c>
      <c r="F454" s="5">
        <v>2603.7800000000002</v>
      </c>
      <c r="G454" s="32">
        <v>2820.08</v>
      </c>
      <c r="H454" s="32">
        <v>3006.65</v>
      </c>
      <c r="I454" s="32">
        <v>3035.05</v>
      </c>
      <c r="J454" s="32">
        <v>3095.69</v>
      </c>
      <c r="K454" s="32">
        <v>3191.01</v>
      </c>
      <c r="L454" s="32">
        <v>5831.15</v>
      </c>
      <c r="M454" s="5"/>
      <c r="N454" s="31">
        <v>45626</v>
      </c>
      <c r="O454" s="205" t="s">
        <v>219</v>
      </c>
    </row>
    <row r="455" spans="1:16" ht="14.25" customHeight="1" x14ac:dyDescent="0.25">
      <c r="A455" s="142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</row>
    <row r="456" spans="1:16" ht="14.25" customHeight="1" x14ac:dyDescent="0.25">
      <c r="A456" s="142">
        <v>3</v>
      </c>
      <c r="B456" s="19" t="s">
        <v>160</v>
      </c>
      <c r="C456" s="59" t="s">
        <v>73</v>
      </c>
      <c r="D456" s="59" t="s">
        <v>73</v>
      </c>
      <c r="E456" s="5">
        <v>4685.88</v>
      </c>
      <c r="F456" s="5">
        <v>5155.46</v>
      </c>
      <c r="G456" s="5">
        <v>4389.8900000000003</v>
      </c>
      <c r="H456" s="5">
        <v>4431.91</v>
      </c>
      <c r="I456" s="5">
        <v>4462.17</v>
      </c>
      <c r="J456" s="5">
        <v>4268.1099999999997</v>
      </c>
      <c r="K456" s="32">
        <v>4393.3</v>
      </c>
      <c r="L456" s="32">
        <v>6638.12</v>
      </c>
      <c r="N456" s="31">
        <v>45626</v>
      </c>
      <c r="O456" s="205" t="s">
        <v>220</v>
      </c>
    </row>
    <row r="457" spans="1:16" ht="14.25" customHeight="1" x14ac:dyDescent="0.25">
      <c r="A457" s="142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</row>
    <row r="458" spans="1:16" ht="14.25" customHeight="1" x14ac:dyDescent="0.25">
      <c r="A458" s="142">
        <v>4</v>
      </c>
      <c r="B458" s="151" t="s">
        <v>161</v>
      </c>
      <c r="C458" s="59" t="s">
        <v>73</v>
      </c>
      <c r="D458" s="59" t="s">
        <v>73</v>
      </c>
      <c r="E458" s="59" t="s">
        <v>73</v>
      </c>
      <c r="F458" s="59" t="s">
        <v>73</v>
      </c>
      <c r="G458" s="59" t="s">
        <v>73</v>
      </c>
      <c r="H458" s="59" t="s">
        <v>73</v>
      </c>
      <c r="I458" s="32">
        <v>4800</v>
      </c>
      <c r="J458" s="32">
        <v>4800</v>
      </c>
      <c r="K458" s="32">
        <v>4800</v>
      </c>
      <c r="L458" s="32">
        <v>4800</v>
      </c>
      <c r="N458" s="211" t="s">
        <v>239</v>
      </c>
    </row>
    <row r="459" spans="1:16" ht="14.25" customHeight="1" x14ac:dyDescent="0.25">
      <c r="A459" s="142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</row>
    <row r="460" spans="1:16" ht="14.25" customHeight="1" x14ac:dyDescent="0.25">
      <c r="A460" s="142">
        <v>5</v>
      </c>
      <c r="B460" s="151" t="s">
        <v>162</v>
      </c>
      <c r="C460" s="32">
        <v>1175.3399999999999</v>
      </c>
      <c r="D460" s="32">
        <v>1382.5</v>
      </c>
      <c r="E460" s="32">
        <v>1610.57</v>
      </c>
      <c r="F460" s="32">
        <v>1823.26</v>
      </c>
      <c r="G460" s="32">
        <v>1923.47</v>
      </c>
      <c r="H460" s="32">
        <v>2249.71</v>
      </c>
      <c r="I460" s="32">
        <v>2491.0500000000002</v>
      </c>
      <c r="J460" s="32">
        <v>2895.34</v>
      </c>
      <c r="K460" s="32">
        <v>3152.43</v>
      </c>
      <c r="L460" s="32">
        <v>3487.53</v>
      </c>
      <c r="N460" s="31">
        <v>45626</v>
      </c>
      <c r="O460" s="205" t="s">
        <v>221</v>
      </c>
    </row>
    <row r="461" spans="1:16" ht="14.25" customHeight="1" x14ac:dyDescent="0.25">
      <c r="A461" s="142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</row>
    <row r="462" spans="1:16" ht="14.25" customHeight="1" x14ac:dyDescent="0.25">
      <c r="A462" s="142">
        <v>6</v>
      </c>
      <c r="B462" s="151" t="s">
        <v>163</v>
      </c>
      <c r="C462" s="32">
        <v>1174.27</v>
      </c>
      <c r="D462" s="32">
        <v>1413.48</v>
      </c>
      <c r="E462" s="32">
        <v>1664.65</v>
      </c>
      <c r="F462" s="32">
        <v>1881.95</v>
      </c>
      <c r="G462" s="32">
        <v>1985.3</v>
      </c>
      <c r="H462" s="32">
        <v>2323.31</v>
      </c>
      <c r="I462" s="32">
        <v>2572.83</v>
      </c>
      <c r="J462" s="32">
        <v>2989.13</v>
      </c>
      <c r="K462" s="32">
        <v>3257.3</v>
      </c>
      <c r="L462" s="32">
        <v>3604.55</v>
      </c>
      <c r="N462" s="31">
        <v>45626</v>
      </c>
      <c r="O462" s="205" t="s">
        <v>222</v>
      </c>
    </row>
    <row r="463" spans="1:16" ht="14.25" customHeight="1" x14ac:dyDescent="0.25">
      <c r="A463" s="142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</row>
    <row r="464" spans="1:16" ht="14.25" customHeight="1" x14ac:dyDescent="0.25">
      <c r="A464" s="142">
        <v>7</v>
      </c>
      <c r="B464" s="151" t="s">
        <v>164</v>
      </c>
      <c r="C464" s="32">
        <v>1248.55</v>
      </c>
      <c r="D464" s="32">
        <v>1337.14</v>
      </c>
      <c r="E464" s="32">
        <v>1577.22</v>
      </c>
      <c r="F464" s="32">
        <v>1755.95</v>
      </c>
      <c r="G464" s="32">
        <v>1883.89</v>
      </c>
      <c r="H464" s="32">
        <v>2128.6799999999998</v>
      </c>
      <c r="I464" s="32">
        <v>2297.38</v>
      </c>
      <c r="J464" s="32">
        <v>2660.12</v>
      </c>
      <c r="K464" s="32">
        <v>2912.04</v>
      </c>
      <c r="L464" s="32">
        <v>3335.15</v>
      </c>
      <c r="N464" s="31">
        <v>45626</v>
      </c>
      <c r="O464" s="205" t="s">
        <v>223</v>
      </c>
    </row>
    <row r="465" spans="1:16" ht="14.25" customHeight="1" x14ac:dyDescent="0.25">
      <c r="A465" s="142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</row>
    <row r="466" spans="1:16" ht="14.25" customHeight="1" x14ac:dyDescent="0.25">
      <c r="A466" s="142">
        <v>8</v>
      </c>
      <c r="B466" s="151" t="s">
        <v>165</v>
      </c>
      <c r="C466" s="209" t="s">
        <v>73</v>
      </c>
      <c r="D466" s="209" t="s">
        <v>73</v>
      </c>
      <c r="E466" s="32">
        <v>1711.77</v>
      </c>
      <c r="F466" s="32">
        <v>1948.85</v>
      </c>
      <c r="G466" s="32">
        <v>2063.48</v>
      </c>
      <c r="H466" s="32">
        <v>2297.2600000000002</v>
      </c>
      <c r="I466" s="32">
        <v>2613.14</v>
      </c>
      <c r="J466" s="32">
        <v>2864.71</v>
      </c>
      <c r="K466" s="32">
        <v>2989.49</v>
      </c>
      <c r="L466" s="32">
        <v>3175.21</v>
      </c>
      <c r="N466" s="31">
        <v>45626</v>
      </c>
      <c r="O466" s="215" t="s">
        <v>224</v>
      </c>
    </row>
    <row r="467" spans="1:16" ht="14.25" customHeight="1" x14ac:dyDescent="0.25">
      <c r="A467" s="142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</row>
    <row r="468" spans="1:16" ht="14.25" customHeight="1" x14ac:dyDescent="0.25">
      <c r="A468" s="142">
        <v>9</v>
      </c>
      <c r="B468" s="151" t="s">
        <v>166</v>
      </c>
      <c r="C468" s="209" t="s">
        <v>73</v>
      </c>
      <c r="D468" s="209" t="s">
        <v>73</v>
      </c>
      <c r="E468" s="32">
        <v>1413.44</v>
      </c>
      <c r="F468" s="32">
        <v>1617.34</v>
      </c>
      <c r="G468" s="32">
        <v>1773.53</v>
      </c>
      <c r="H468" s="32">
        <v>1966.03</v>
      </c>
      <c r="I468" s="32">
        <v>2277.83</v>
      </c>
      <c r="J468" s="32">
        <v>2478.38</v>
      </c>
      <c r="K468" s="32">
        <v>2673.99</v>
      </c>
      <c r="L468" s="32">
        <v>2931.55</v>
      </c>
      <c r="N468" s="31">
        <v>45626</v>
      </c>
      <c r="O468" s="215" t="s">
        <v>225</v>
      </c>
    </row>
    <row r="469" spans="1:16" ht="14.25" customHeight="1" x14ac:dyDescent="0.25">
      <c r="A469" s="142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</row>
    <row r="470" spans="1:16" ht="14.25" customHeight="1" x14ac:dyDescent="0.25">
      <c r="A470" s="142">
        <v>10</v>
      </c>
      <c r="B470" s="156" t="s">
        <v>167</v>
      </c>
      <c r="C470" s="209" t="s">
        <v>73</v>
      </c>
      <c r="D470" s="209" t="s">
        <v>73</v>
      </c>
      <c r="E470" s="32">
        <v>2480.1</v>
      </c>
      <c r="F470" s="32">
        <v>2784.57</v>
      </c>
      <c r="G470" s="32">
        <v>2932.03</v>
      </c>
      <c r="H470" s="32">
        <v>3453.97</v>
      </c>
      <c r="I470" s="32">
        <v>3938.63</v>
      </c>
      <c r="J470" s="32">
        <v>4265.1899999999996</v>
      </c>
      <c r="K470" s="32">
        <v>4624.22</v>
      </c>
      <c r="L470" s="32">
        <v>4956.93</v>
      </c>
      <c r="N470" s="31">
        <v>45626</v>
      </c>
      <c r="O470" s="215" t="s">
        <v>226</v>
      </c>
    </row>
    <row r="471" spans="1:16" ht="14.25" customHeight="1" x14ac:dyDescent="0.25">
      <c r="A471" s="142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</row>
    <row r="472" spans="1:16" ht="14.25" customHeight="1" x14ac:dyDescent="0.25">
      <c r="A472" s="142">
        <v>11</v>
      </c>
      <c r="B472" s="151" t="s">
        <v>168</v>
      </c>
      <c r="C472" s="59" t="s">
        <v>73</v>
      </c>
      <c r="D472" s="209" t="s">
        <v>73</v>
      </c>
      <c r="E472" s="32">
        <v>2535.4899999999998</v>
      </c>
      <c r="F472" s="32">
        <v>2898.36</v>
      </c>
      <c r="G472" s="32">
        <v>3194.13</v>
      </c>
      <c r="H472" s="32">
        <v>2752.63</v>
      </c>
      <c r="I472" s="32">
        <v>3495.67</v>
      </c>
      <c r="J472" s="32">
        <v>3718.4</v>
      </c>
      <c r="K472" s="32">
        <v>3989.7</v>
      </c>
      <c r="L472" s="32">
        <v>4311.29</v>
      </c>
      <c r="N472" s="31">
        <v>45626</v>
      </c>
      <c r="O472" s="215" t="s">
        <v>227</v>
      </c>
    </row>
    <row r="473" spans="1:16" ht="14.25" customHeight="1" x14ac:dyDescent="0.25">
      <c r="A473" s="142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</row>
    <row r="474" spans="1:16" ht="14.25" customHeight="1" x14ac:dyDescent="0.25">
      <c r="A474" s="142">
        <v>12</v>
      </c>
      <c r="B474" s="151" t="s">
        <v>169</v>
      </c>
      <c r="C474" s="209" t="s">
        <v>73</v>
      </c>
      <c r="D474" s="209" t="s">
        <v>73</v>
      </c>
      <c r="E474" s="32">
        <v>1515.44</v>
      </c>
      <c r="F474" s="32">
        <v>1727.45</v>
      </c>
      <c r="G474" s="32">
        <v>1862.97</v>
      </c>
      <c r="H474" s="32">
        <v>2073</v>
      </c>
      <c r="I474" s="32">
        <v>2362.75</v>
      </c>
      <c r="J474" s="32">
        <v>2602.2800000000002</v>
      </c>
      <c r="K474" s="32">
        <v>2939.95</v>
      </c>
      <c r="L474" s="32">
        <v>3016.49</v>
      </c>
      <c r="N474" s="31">
        <v>45626</v>
      </c>
      <c r="O474" s="215" t="s">
        <v>228</v>
      </c>
    </row>
    <row r="475" spans="1:16" ht="14.25" customHeight="1" x14ac:dyDescent="0.25">
      <c r="A475" s="142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</row>
    <row r="476" spans="1:16" ht="14.25" customHeight="1" x14ac:dyDescent="0.25">
      <c r="A476" s="142">
        <v>13</v>
      </c>
      <c r="B476" s="212" t="s">
        <v>170</v>
      </c>
      <c r="C476" s="209" t="s">
        <v>73</v>
      </c>
      <c r="D476" s="209" t="s">
        <v>73</v>
      </c>
      <c r="E476" s="32">
        <v>1522.37</v>
      </c>
      <c r="F476" s="32">
        <v>2021.94</v>
      </c>
      <c r="G476" s="32">
        <v>2000.51</v>
      </c>
      <c r="H476" s="32">
        <v>2169.9699999999998</v>
      </c>
      <c r="I476" s="32">
        <v>2510.34</v>
      </c>
      <c r="J476" s="32">
        <v>2735.57</v>
      </c>
      <c r="K476" s="32">
        <v>3034.03</v>
      </c>
      <c r="L476" s="208">
        <v>3238.19</v>
      </c>
      <c r="N476" s="31">
        <v>45626</v>
      </c>
      <c r="O476" s="215" t="s">
        <v>229</v>
      </c>
    </row>
    <row r="477" spans="1:16" ht="14.25" customHeight="1" x14ac:dyDescent="0.25">
      <c r="A477" s="142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</row>
    <row r="478" spans="1:16" ht="14.25" customHeight="1" x14ac:dyDescent="0.25">
      <c r="A478" s="142">
        <v>14</v>
      </c>
      <c r="B478" s="151" t="s">
        <v>171</v>
      </c>
      <c r="C478" s="59" t="s">
        <v>73</v>
      </c>
      <c r="D478" s="209" t="s">
        <v>73</v>
      </c>
      <c r="E478" s="32">
        <v>1787.62</v>
      </c>
      <c r="F478" s="32">
        <v>2103.35</v>
      </c>
      <c r="G478" s="32">
        <v>2288.02</v>
      </c>
      <c r="H478" s="32">
        <v>2481.4899999999998</v>
      </c>
      <c r="I478" s="32">
        <v>2790.98</v>
      </c>
      <c r="J478" s="32">
        <v>2943.05</v>
      </c>
      <c r="K478" s="32">
        <v>3373.32</v>
      </c>
      <c r="L478" s="208">
        <v>4093.5</v>
      </c>
      <c r="N478" s="31">
        <v>45626</v>
      </c>
      <c r="O478" s="215" t="s">
        <v>230</v>
      </c>
    </row>
    <row r="479" spans="1:16" ht="14.25" customHeight="1" x14ac:dyDescent="0.25">
      <c r="A479" s="142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</row>
    <row r="480" spans="1:16" ht="14.25" customHeight="1" x14ac:dyDescent="0.25">
      <c r="A480" s="142">
        <v>15</v>
      </c>
      <c r="B480" s="151" t="s">
        <v>172</v>
      </c>
      <c r="C480" s="209" t="s">
        <v>73</v>
      </c>
      <c r="D480" s="209" t="s">
        <v>73</v>
      </c>
      <c r="E480" s="32">
        <v>1658.74</v>
      </c>
      <c r="F480" s="32">
        <v>1774.44</v>
      </c>
      <c r="G480" s="32">
        <v>2259.4499999999998</v>
      </c>
      <c r="H480" s="32">
        <v>2463.31</v>
      </c>
      <c r="I480" s="32">
        <v>2784.14</v>
      </c>
      <c r="J480" s="32">
        <v>3078.51</v>
      </c>
      <c r="K480" s="32">
        <v>3454.17</v>
      </c>
      <c r="L480" s="208">
        <v>3785.19</v>
      </c>
      <c r="N480" s="31">
        <v>45626</v>
      </c>
      <c r="O480" s="215" t="s">
        <v>231</v>
      </c>
    </row>
    <row r="481" spans="1:16" ht="14.25" customHeight="1" x14ac:dyDescent="0.25">
      <c r="A481" s="142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</row>
    <row r="482" spans="1:16" ht="14.25" customHeight="1" x14ac:dyDescent="0.25">
      <c r="A482" s="142">
        <v>16</v>
      </c>
      <c r="B482" s="151" t="s">
        <v>175</v>
      </c>
      <c r="C482" s="59" t="s">
        <v>73</v>
      </c>
      <c r="D482" s="59" t="s">
        <v>73</v>
      </c>
      <c r="E482" s="32">
        <v>2541.25</v>
      </c>
      <c r="F482" s="32">
        <v>2827.64</v>
      </c>
      <c r="G482" s="32">
        <v>2973.56</v>
      </c>
      <c r="H482" s="32">
        <v>3429.04</v>
      </c>
      <c r="I482" s="32">
        <v>3987.84</v>
      </c>
      <c r="J482" s="32">
        <v>4318.07</v>
      </c>
      <c r="K482" s="32">
        <v>4825.63</v>
      </c>
      <c r="L482" s="208">
        <v>5122.43</v>
      </c>
      <c r="N482" s="31">
        <v>45626</v>
      </c>
      <c r="O482" s="215" t="s">
        <v>232</v>
      </c>
    </row>
    <row r="483" spans="1:16" ht="14.25" customHeight="1" x14ac:dyDescent="0.25">
      <c r="A483" s="142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</row>
    <row r="484" spans="1:16" ht="14.25" customHeight="1" x14ac:dyDescent="0.25">
      <c r="A484" s="142">
        <v>17</v>
      </c>
      <c r="B484" s="151" t="s">
        <v>173</v>
      </c>
      <c r="C484" s="209" t="s">
        <v>73</v>
      </c>
      <c r="D484" s="209" t="s">
        <v>73</v>
      </c>
      <c r="E484" s="32">
        <v>1394.37</v>
      </c>
      <c r="F484" s="32">
        <v>1716.89</v>
      </c>
      <c r="G484" s="32">
        <v>1744.09</v>
      </c>
      <c r="H484" s="32">
        <v>2005.07</v>
      </c>
      <c r="I484" s="32">
        <v>2344.46</v>
      </c>
      <c r="J484" s="32">
        <v>2681.45</v>
      </c>
      <c r="K484" s="32">
        <v>2789.41</v>
      </c>
      <c r="L484" s="208">
        <v>3068.02</v>
      </c>
      <c r="N484" s="31">
        <v>45626</v>
      </c>
      <c r="O484" s="215" t="s">
        <v>233</v>
      </c>
    </row>
    <row r="485" spans="1:16" ht="14.25" customHeight="1" x14ac:dyDescent="0.25">
      <c r="A485" s="142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</row>
    <row r="486" spans="1:16" ht="14.25" customHeight="1" x14ac:dyDescent="0.25">
      <c r="A486" s="142">
        <v>18</v>
      </c>
      <c r="B486" s="151" t="s">
        <v>174</v>
      </c>
      <c r="C486" s="59" t="s">
        <v>73</v>
      </c>
      <c r="D486" s="59" t="s">
        <v>73</v>
      </c>
      <c r="E486" s="32">
        <v>1286.5</v>
      </c>
      <c r="F486" s="32">
        <v>2902.87</v>
      </c>
      <c r="G486" s="32">
        <v>2936.32</v>
      </c>
      <c r="H486" s="32">
        <v>3373.12</v>
      </c>
      <c r="I486" s="32">
        <v>3903.46</v>
      </c>
      <c r="J486" s="32">
        <v>4227.6400000000003</v>
      </c>
      <c r="K486" s="32">
        <v>4564.55</v>
      </c>
      <c r="L486" s="208">
        <v>5022.07</v>
      </c>
      <c r="N486" s="31">
        <v>45626</v>
      </c>
      <c r="O486" s="215" t="s">
        <v>234</v>
      </c>
    </row>
    <row r="487" spans="1:16" ht="14.25" customHeight="1" x14ac:dyDescent="0.25">
      <c r="A487" s="142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</row>
    <row r="488" spans="1:16" ht="14.25" customHeight="1" x14ac:dyDescent="0.25">
      <c r="A488" s="142">
        <v>19</v>
      </c>
      <c r="B488" s="151" t="s">
        <v>176</v>
      </c>
      <c r="C488" s="59" t="s">
        <v>73</v>
      </c>
      <c r="D488" s="59" t="s">
        <v>73</v>
      </c>
      <c r="E488" s="32">
        <v>2375.66</v>
      </c>
      <c r="F488" s="32">
        <v>2639.58</v>
      </c>
      <c r="G488" s="32">
        <v>2675.53</v>
      </c>
      <c r="H488" s="32">
        <v>3051.92</v>
      </c>
      <c r="I488" s="32">
        <v>3548.32</v>
      </c>
      <c r="J488" s="32">
        <v>3865.97</v>
      </c>
      <c r="K488" s="32">
        <v>4192.1400000000003</v>
      </c>
      <c r="L488" s="208">
        <v>4595.43</v>
      </c>
      <c r="N488" s="31">
        <v>45626</v>
      </c>
      <c r="O488" s="215" t="s">
        <v>235</v>
      </c>
    </row>
    <row r="489" spans="1:16" ht="14.25" customHeight="1" x14ac:dyDescent="0.25">
      <c r="A489" s="142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</row>
    <row r="490" spans="1:16" ht="14.25" customHeight="1" x14ac:dyDescent="0.25">
      <c r="A490" s="142">
        <v>20</v>
      </c>
      <c r="B490" s="151" t="s">
        <v>177</v>
      </c>
      <c r="C490" s="59" t="s">
        <v>73</v>
      </c>
      <c r="D490" s="59" t="s">
        <v>73</v>
      </c>
      <c r="E490" s="32">
        <v>1904.2</v>
      </c>
      <c r="F490" s="32">
        <v>4723.96</v>
      </c>
      <c r="G490" s="32">
        <v>5572.64</v>
      </c>
      <c r="H490" s="32">
        <v>5844.52</v>
      </c>
      <c r="I490" s="32">
        <v>6159.84</v>
      </c>
      <c r="J490" s="32">
        <v>6939.77</v>
      </c>
      <c r="K490" s="32">
        <v>7761.96</v>
      </c>
      <c r="L490" s="208">
        <v>8077.38</v>
      </c>
      <c r="N490" s="31">
        <v>45626</v>
      </c>
      <c r="O490" s="215" t="s">
        <v>236</v>
      </c>
    </row>
    <row r="491" spans="1:16" ht="14.25" customHeight="1" x14ac:dyDescent="0.25">
      <c r="A491" s="142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</row>
    <row r="492" spans="1:16" ht="14.25" customHeight="1" x14ac:dyDescent="0.25">
      <c r="A492" s="142">
        <v>21</v>
      </c>
      <c r="B492" s="212" t="s">
        <v>178</v>
      </c>
      <c r="C492" s="59" t="s">
        <v>73</v>
      </c>
      <c r="D492" s="59" t="s">
        <v>73</v>
      </c>
      <c r="E492" s="5">
        <v>1621.32</v>
      </c>
      <c r="F492" s="5">
        <v>4627.5200000000004</v>
      </c>
      <c r="G492" s="5">
        <v>5572.64</v>
      </c>
      <c r="H492" s="32">
        <v>5844.52</v>
      </c>
      <c r="I492" s="32">
        <v>6159.84</v>
      </c>
      <c r="J492" s="32">
        <v>6939.77</v>
      </c>
      <c r="K492" s="32">
        <v>7761.96</v>
      </c>
      <c r="L492" s="208">
        <v>8077.39</v>
      </c>
      <c r="N492" s="31">
        <v>45626</v>
      </c>
      <c r="O492" s="215" t="s">
        <v>237</v>
      </c>
    </row>
    <row r="493" spans="1:16" ht="14.25" customHeight="1" x14ac:dyDescent="0.25">
      <c r="A493" s="142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</row>
    <row r="494" spans="1:16" ht="14.25" customHeight="1" thickBot="1" x14ac:dyDescent="0.3">
      <c r="A494" s="142">
        <v>22</v>
      </c>
      <c r="B494" s="155" t="s">
        <v>183</v>
      </c>
      <c r="C494" s="207" t="s">
        <v>73</v>
      </c>
      <c r="D494" s="207" t="s">
        <v>73</v>
      </c>
      <c r="E494" s="28">
        <v>1176.07</v>
      </c>
      <c r="F494" s="86">
        <v>1422.58</v>
      </c>
      <c r="G494" s="86">
        <v>2045.97</v>
      </c>
      <c r="H494" s="86">
        <v>2355.6799999999998</v>
      </c>
      <c r="I494" s="86">
        <v>2640.39</v>
      </c>
      <c r="J494" s="86">
        <v>2988.45</v>
      </c>
      <c r="K494" s="86">
        <v>3219.39</v>
      </c>
      <c r="L494" s="86">
        <v>3622.57</v>
      </c>
      <c r="M494" s="92"/>
      <c r="O494" s="205" t="s">
        <v>238</v>
      </c>
    </row>
    <row r="495" spans="1:16" ht="14.25" customHeight="1" thickTop="1" x14ac:dyDescent="0.25">
      <c r="B495" s="14" t="s">
        <v>8</v>
      </c>
      <c r="C495" s="34">
        <f>SUM(C452:C494)</f>
        <v>3598.16</v>
      </c>
      <c r="D495" s="34">
        <f t="shared" ref="D495:M495" si="45">SUM(D452:D494)</f>
        <v>4133.12</v>
      </c>
      <c r="E495" s="34">
        <f t="shared" si="45"/>
        <v>38759.689999999995</v>
      </c>
      <c r="F495" s="34">
        <f t="shared" si="45"/>
        <v>50957.740000000005</v>
      </c>
      <c r="G495" s="34">
        <f t="shared" si="45"/>
        <v>57119.19999999999</v>
      </c>
      <c r="H495" s="34">
        <f t="shared" si="45"/>
        <v>62925.470000000008</v>
      </c>
      <c r="I495" s="34">
        <f t="shared" si="45"/>
        <v>74423.240000000005</v>
      </c>
      <c r="J495" s="34">
        <f t="shared" si="45"/>
        <v>82710.260000000009</v>
      </c>
      <c r="K495" s="34">
        <f t="shared" si="45"/>
        <v>89103.16</v>
      </c>
      <c r="L495" s="34">
        <f t="shared" si="45"/>
        <v>100124.31000000001</v>
      </c>
      <c r="M495" s="34">
        <f t="shared" si="45"/>
        <v>0</v>
      </c>
    </row>
    <row r="496" spans="1:16" ht="14.25" customHeight="1" x14ac:dyDescent="0.25">
      <c r="B496" s="66" t="s">
        <v>85</v>
      </c>
      <c r="C496" s="32">
        <f>SUM(C460,C462,C464,C466,C468,C470,C474,C476,C480,C484)</f>
        <v>3598.16</v>
      </c>
      <c r="D496" s="32">
        <f>SUM(D484,D460,D462,D464,D466,D468,D470,D472,D474,D476,D478,D480)</f>
        <v>4133.12</v>
      </c>
      <c r="E496" s="32">
        <f>SUM(E460,E462,E464,E466:E490)</f>
        <v>28979.390000000003</v>
      </c>
      <c r="F496" s="32">
        <f>SUM(F494,F460:F490)</f>
        <v>38570.979999999996</v>
      </c>
      <c r="G496" s="32">
        <f>SUM(G494,G460:G490,G454)</f>
        <v>44934.970000000008</v>
      </c>
      <c r="H496" s="32">
        <f>SUM(H460:H494,H454)</f>
        <v>55269.880000000005</v>
      </c>
      <c r="I496" s="32">
        <f>SUM(I458:I494,I454,I452)</f>
        <v>69961.070000000007</v>
      </c>
      <c r="J496" s="32">
        <f>SUM(J458:J494,J454,J452)</f>
        <v>78442.150000000009</v>
      </c>
      <c r="K496" s="32">
        <f>SUM(K452:K494)</f>
        <v>89103.16</v>
      </c>
      <c r="L496" s="32">
        <f>SUM(L452:L494)</f>
        <v>100124.31000000001</v>
      </c>
      <c r="M496" s="32">
        <f t="shared" ref="M496" si="46">SUM(M454:M485)</f>
        <v>0</v>
      </c>
    </row>
    <row r="497" spans="2:13" ht="14.25" customHeight="1" x14ac:dyDescent="0.25"/>
    <row r="498" spans="2:13" ht="14.25" customHeight="1" x14ac:dyDescent="0.25"/>
    <row r="499" spans="2:13" ht="14.25" customHeight="1" x14ac:dyDescent="0.25"/>
    <row r="500" spans="2:13" s="11" customFormat="1" ht="33.6" customHeight="1" x14ac:dyDescent="0.25">
      <c r="B500" s="160" t="s">
        <v>180</v>
      </c>
      <c r="C500" s="161">
        <f>SUM(C495,C446,C435,C408)</f>
        <v>567911.24</v>
      </c>
      <c r="D500" s="161">
        <f t="shared" ref="D500:M500" si="47">SUM(D495,D446,D435,D408)</f>
        <v>557929.35999999987</v>
      </c>
      <c r="E500" s="161">
        <f t="shared" si="47"/>
        <v>611861.51999999979</v>
      </c>
      <c r="F500" s="161">
        <f t="shared" si="47"/>
        <v>636337.94000000006</v>
      </c>
      <c r="G500" s="161">
        <f t="shared" si="47"/>
        <v>713869.39</v>
      </c>
      <c r="H500" s="161">
        <f t="shared" si="47"/>
        <v>698879.36</v>
      </c>
      <c r="I500" s="161">
        <f t="shared" si="47"/>
        <v>768508.55999999994</v>
      </c>
      <c r="J500" s="161">
        <f t="shared" si="47"/>
        <v>964328.2</v>
      </c>
      <c r="K500" s="161">
        <f t="shared" si="47"/>
        <v>982828.79</v>
      </c>
      <c r="L500" s="161">
        <f t="shared" si="47"/>
        <v>990897.91999999993</v>
      </c>
      <c r="M500" s="161">
        <f t="shared" si="47"/>
        <v>0</v>
      </c>
    </row>
    <row r="501" spans="2:13" s="11" customFormat="1" ht="31.2" customHeight="1" x14ac:dyDescent="0.25">
      <c r="B501" s="167" t="s">
        <v>181</v>
      </c>
      <c r="C501" s="168">
        <f>SUM(C496,C447,C436,C409)</f>
        <v>3598.16</v>
      </c>
      <c r="D501" s="168">
        <f t="shared" ref="D501:M501" si="48">SUM(D496,D447,D436,D409)</f>
        <v>4133.12</v>
      </c>
      <c r="E501" s="168">
        <f t="shared" si="48"/>
        <v>28979.390000000003</v>
      </c>
      <c r="F501" s="168">
        <f t="shared" si="48"/>
        <v>51845.509999999995</v>
      </c>
      <c r="G501" s="168">
        <f t="shared" si="48"/>
        <v>89188.760000000009</v>
      </c>
      <c r="H501" s="168">
        <f t="shared" si="48"/>
        <v>235785.52000000002</v>
      </c>
      <c r="I501" s="168">
        <f t="shared" si="48"/>
        <v>394809.61000000004</v>
      </c>
      <c r="J501" s="168">
        <f t="shared" si="48"/>
        <v>685265.13</v>
      </c>
      <c r="K501" s="168">
        <f t="shared" si="48"/>
        <v>714881.5</v>
      </c>
      <c r="L501" s="168">
        <f t="shared" si="48"/>
        <v>985281.27</v>
      </c>
      <c r="M501" s="168">
        <f t="shared" si="48"/>
        <v>0</v>
      </c>
    </row>
    <row r="502" spans="2:13" ht="14.25" customHeight="1" x14ac:dyDescent="0.25"/>
    <row r="503" spans="2:13" ht="14.25" customHeight="1" x14ac:dyDescent="0.25"/>
    <row r="504" spans="2:13" ht="14.25" customHeight="1" x14ac:dyDescent="0.25"/>
    <row r="505" spans="2:13" ht="14.25" customHeight="1" x14ac:dyDescent="0.25"/>
    <row r="506" spans="2:13" ht="14.25" customHeight="1" x14ac:dyDescent="0.25"/>
    <row r="507" spans="2:13" ht="14.25" customHeight="1" x14ac:dyDescent="0.25">
      <c r="C507" s="2"/>
      <c r="D507" s="2"/>
      <c r="E507" s="2"/>
    </row>
    <row r="508" spans="2:13" ht="14.25" customHeight="1" x14ac:dyDescent="0.25">
      <c r="C508" s="2"/>
      <c r="D508" s="2"/>
      <c r="E508" s="2"/>
    </row>
    <row r="509" spans="2:13" ht="14.25" customHeight="1" x14ac:dyDescent="0.25">
      <c r="C509" s="2"/>
      <c r="D509" s="2"/>
      <c r="E509" s="2"/>
    </row>
    <row r="510" spans="2:13" ht="14.25" customHeight="1" x14ac:dyDescent="0.25">
      <c r="C510" s="2"/>
      <c r="D510" s="2"/>
      <c r="E510" s="2"/>
    </row>
    <row r="511" spans="2:13" ht="14.25" customHeight="1" x14ac:dyDescent="0.25"/>
    <row r="512" spans="2:13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  <row r="1033" ht="14.25" customHeight="1" x14ac:dyDescent="0.25"/>
    <row r="1034" ht="14.25" customHeight="1" x14ac:dyDescent="0.25"/>
    <row r="1035" ht="14.25" customHeight="1" x14ac:dyDescent="0.25"/>
    <row r="1036" ht="14.25" customHeight="1" x14ac:dyDescent="0.25"/>
    <row r="1037" ht="14.25" customHeight="1" x14ac:dyDescent="0.25"/>
    <row r="1038" ht="14.25" customHeight="1" x14ac:dyDescent="0.25"/>
    <row r="1039" ht="14.25" customHeight="1" x14ac:dyDescent="0.25"/>
    <row r="1040" ht="14.25" customHeight="1" x14ac:dyDescent="0.25"/>
    <row r="1041" ht="14.25" customHeight="1" x14ac:dyDescent="0.25"/>
    <row r="1042" ht="14.25" customHeight="1" x14ac:dyDescent="0.25"/>
    <row r="1043" ht="14.25" customHeight="1" x14ac:dyDescent="0.25"/>
    <row r="1044" ht="14.25" customHeight="1" x14ac:dyDescent="0.25"/>
    <row r="1045" ht="14.25" customHeight="1" x14ac:dyDescent="0.25"/>
    <row r="1046" ht="14.25" customHeight="1" x14ac:dyDescent="0.25"/>
    <row r="1047" ht="14.25" customHeight="1" x14ac:dyDescent="0.25"/>
    <row r="1048" ht="14.25" customHeight="1" x14ac:dyDescent="0.25"/>
    <row r="1049" ht="14.25" customHeight="1" x14ac:dyDescent="0.25"/>
    <row r="1050" ht="14.25" customHeight="1" x14ac:dyDescent="0.25"/>
    <row r="1051" ht="14.25" customHeight="1" x14ac:dyDescent="0.25"/>
    <row r="1052" ht="14.25" customHeight="1" x14ac:dyDescent="0.25"/>
    <row r="1053" ht="14.25" customHeight="1" x14ac:dyDescent="0.25"/>
    <row r="1054" ht="14.25" customHeight="1" x14ac:dyDescent="0.25"/>
    <row r="1055" ht="14.25" customHeight="1" x14ac:dyDescent="0.25"/>
    <row r="1056" ht="14.25" customHeight="1" x14ac:dyDescent="0.25"/>
    <row r="1057" ht="14.25" customHeight="1" x14ac:dyDescent="0.25"/>
    <row r="1058" ht="14.25" customHeight="1" x14ac:dyDescent="0.25"/>
    <row r="1059" ht="14.25" customHeight="1" x14ac:dyDescent="0.25"/>
    <row r="1060" ht="14.25" customHeight="1" x14ac:dyDescent="0.25"/>
    <row r="1061" ht="14.25" customHeight="1" x14ac:dyDescent="0.25"/>
    <row r="1062" ht="14.25" customHeight="1" x14ac:dyDescent="0.25"/>
    <row r="1063" ht="14.25" customHeight="1" x14ac:dyDescent="0.25"/>
    <row r="1064" ht="14.25" customHeight="1" x14ac:dyDescent="0.25"/>
    <row r="1065" ht="14.25" customHeight="1" x14ac:dyDescent="0.25"/>
    <row r="1066" ht="14.25" customHeight="1" x14ac:dyDescent="0.25"/>
    <row r="1067" ht="14.25" customHeight="1" x14ac:dyDescent="0.25"/>
    <row r="1068" ht="14.25" customHeight="1" x14ac:dyDescent="0.25"/>
    <row r="1069" ht="14.25" customHeight="1" x14ac:dyDescent="0.25"/>
    <row r="1070" ht="14.25" customHeight="1" x14ac:dyDescent="0.25"/>
    <row r="1071" ht="14.25" customHeight="1" x14ac:dyDescent="0.25"/>
    <row r="1072" ht="14.25" customHeight="1" x14ac:dyDescent="0.25"/>
    <row r="1073" ht="14.25" customHeight="1" x14ac:dyDescent="0.25"/>
    <row r="1074" ht="14.25" customHeight="1" x14ac:dyDescent="0.25"/>
    <row r="1075" ht="14.25" customHeight="1" x14ac:dyDescent="0.25"/>
    <row r="1076" ht="14.25" customHeight="1" x14ac:dyDescent="0.25"/>
    <row r="1077" ht="14.25" customHeight="1" x14ac:dyDescent="0.25"/>
    <row r="1078" ht="14.25" customHeight="1" x14ac:dyDescent="0.25"/>
    <row r="1079" ht="14.25" customHeight="1" x14ac:dyDescent="0.25"/>
    <row r="1080" ht="14.25" customHeight="1" x14ac:dyDescent="0.25"/>
    <row r="1081" ht="14.25" customHeight="1" x14ac:dyDescent="0.25"/>
    <row r="1082" ht="14.25" customHeight="1" x14ac:dyDescent="0.25"/>
    <row r="1083" ht="14.25" customHeight="1" x14ac:dyDescent="0.25"/>
    <row r="1084" ht="14.25" customHeight="1" x14ac:dyDescent="0.25"/>
    <row r="1085" ht="14.25" customHeight="1" x14ac:dyDescent="0.25"/>
    <row r="1086" ht="14.25" customHeight="1" x14ac:dyDescent="0.25"/>
    <row r="1087" ht="14.25" customHeight="1" x14ac:dyDescent="0.25"/>
    <row r="1088" ht="14.25" customHeight="1" x14ac:dyDescent="0.25"/>
    <row r="1089" ht="14.25" customHeight="1" x14ac:dyDescent="0.25"/>
    <row r="1090" ht="14.25" customHeight="1" x14ac:dyDescent="0.25"/>
    <row r="1091" ht="14.25" customHeight="1" x14ac:dyDescent="0.25"/>
    <row r="1092" ht="14.25" customHeight="1" x14ac:dyDescent="0.25"/>
    <row r="1093" ht="14.25" customHeight="1" x14ac:dyDescent="0.25"/>
    <row r="1094" ht="14.25" customHeight="1" x14ac:dyDescent="0.25"/>
    <row r="1095" ht="14.25" customHeight="1" x14ac:dyDescent="0.25"/>
    <row r="1096" ht="14.25" customHeight="1" x14ac:dyDescent="0.25"/>
    <row r="1097" ht="14.25" customHeight="1" x14ac:dyDescent="0.25"/>
    <row r="1098" ht="14.25" customHeight="1" x14ac:dyDescent="0.25"/>
    <row r="1099" ht="14.25" customHeight="1" x14ac:dyDescent="0.25"/>
    <row r="1100" ht="14.25" customHeight="1" x14ac:dyDescent="0.25"/>
    <row r="1101" ht="14.25" customHeight="1" x14ac:dyDescent="0.25"/>
    <row r="1102" ht="14.25" customHeight="1" x14ac:dyDescent="0.25"/>
    <row r="1103" ht="14.25" customHeight="1" x14ac:dyDescent="0.25"/>
    <row r="1104" ht="14.25" customHeight="1" x14ac:dyDescent="0.25"/>
    <row r="1105" ht="14.25" customHeight="1" x14ac:dyDescent="0.25"/>
    <row r="1106" ht="14.25" customHeight="1" x14ac:dyDescent="0.25"/>
    <row r="1107" ht="14.25" customHeight="1" x14ac:dyDescent="0.25"/>
    <row r="1108" ht="14.25" customHeight="1" x14ac:dyDescent="0.25"/>
    <row r="1109" ht="14.25" customHeight="1" x14ac:dyDescent="0.25"/>
    <row r="1110" ht="14.25" customHeight="1" x14ac:dyDescent="0.25"/>
    <row r="1111" ht="14.25" customHeight="1" x14ac:dyDescent="0.25"/>
    <row r="1112" ht="14.25" customHeight="1" x14ac:dyDescent="0.25"/>
    <row r="1113" ht="14.25" customHeight="1" x14ac:dyDescent="0.25"/>
    <row r="1114" ht="14.25" customHeight="1" x14ac:dyDescent="0.25"/>
    <row r="1115" ht="14.25" customHeight="1" x14ac:dyDescent="0.25"/>
    <row r="1116" ht="14.25" customHeight="1" x14ac:dyDescent="0.25"/>
    <row r="1117" ht="14.25" customHeight="1" x14ac:dyDescent="0.25"/>
    <row r="1118" ht="14.25" customHeight="1" x14ac:dyDescent="0.25"/>
    <row r="1119" ht="14.25" customHeight="1" x14ac:dyDescent="0.25"/>
    <row r="1120" ht="14.25" customHeight="1" x14ac:dyDescent="0.25"/>
    <row r="1121" ht="14.25" customHeight="1" x14ac:dyDescent="0.25"/>
    <row r="1122" ht="14.25" customHeight="1" x14ac:dyDescent="0.25"/>
    <row r="1123" ht="14.25" customHeight="1" x14ac:dyDescent="0.25"/>
    <row r="1124" ht="14.25" customHeight="1" x14ac:dyDescent="0.25"/>
    <row r="1125" ht="14.25" customHeight="1" x14ac:dyDescent="0.25"/>
    <row r="1126" ht="14.25" customHeight="1" x14ac:dyDescent="0.25"/>
    <row r="1127" ht="14.25" customHeight="1" x14ac:dyDescent="0.25"/>
    <row r="1128" ht="14.25" customHeight="1" x14ac:dyDescent="0.25"/>
    <row r="1129" ht="14.25" customHeight="1" x14ac:dyDescent="0.25"/>
    <row r="1130" ht="14.25" customHeight="1" x14ac:dyDescent="0.25"/>
    <row r="1131" ht="14.25" customHeight="1" x14ac:dyDescent="0.25"/>
    <row r="1132" ht="14.25" customHeight="1" x14ac:dyDescent="0.25"/>
    <row r="1133" ht="14.25" customHeight="1" x14ac:dyDescent="0.25"/>
    <row r="1134" ht="14.25" customHeight="1" x14ac:dyDescent="0.25"/>
    <row r="1135" ht="14.25" customHeight="1" x14ac:dyDescent="0.25"/>
    <row r="1136" ht="14.25" customHeight="1" x14ac:dyDescent="0.25"/>
    <row r="1137" ht="14.25" customHeight="1" x14ac:dyDescent="0.25"/>
    <row r="1138" ht="14.25" customHeight="1" x14ac:dyDescent="0.25"/>
    <row r="1139" ht="14.25" customHeight="1" x14ac:dyDescent="0.25"/>
    <row r="1140" ht="14.25" customHeight="1" x14ac:dyDescent="0.25"/>
    <row r="1141" ht="14.25" customHeight="1" x14ac:dyDescent="0.25"/>
    <row r="1142" ht="14.25" customHeight="1" x14ac:dyDescent="0.25"/>
    <row r="1143" ht="14.25" customHeight="1" x14ac:dyDescent="0.25"/>
    <row r="1144" ht="14.25" customHeight="1" x14ac:dyDescent="0.25"/>
    <row r="1145" ht="14.25" customHeight="1" x14ac:dyDescent="0.25"/>
    <row r="1146" ht="14.25" customHeight="1" x14ac:dyDescent="0.25"/>
    <row r="1147" ht="14.25" customHeight="1" x14ac:dyDescent="0.25"/>
    <row r="1148" ht="14.25" customHeight="1" x14ac:dyDescent="0.25"/>
    <row r="1149" ht="14.25" customHeight="1" x14ac:dyDescent="0.25"/>
    <row r="1150" ht="14.25" customHeight="1" x14ac:dyDescent="0.25"/>
    <row r="1151" ht="14.25" customHeight="1" x14ac:dyDescent="0.25"/>
    <row r="1152" ht="14.25" customHeight="1" x14ac:dyDescent="0.25"/>
    <row r="1153" ht="14.25" customHeight="1" x14ac:dyDescent="0.25"/>
    <row r="1154" ht="14.25" customHeight="1" x14ac:dyDescent="0.25"/>
    <row r="1155" ht="14.25" customHeight="1" x14ac:dyDescent="0.25"/>
    <row r="1156" ht="14.25" customHeight="1" x14ac:dyDescent="0.25"/>
    <row r="1157" ht="14.25" customHeight="1" x14ac:dyDescent="0.25"/>
    <row r="1158" ht="14.25" customHeight="1" x14ac:dyDescent="0.25"/>
    <row r="1159" ht="14.25" customHeight="1" x14ac:dyDescent="0.25"/>
    <row r="1160" ht="14.25" customHeight="1" x14ac:dyDescent="0.25"/>
    <row r="1161" ht="14.25" customHeight="1" x14ac:dyDescent="0.25"/>
    <row r="1162" ht="14.25" customHeight="1" x14ac:dyDescent="0.25"/>
    <row r="1163" ht="14.25" customHeight="1" x14ac:dyDescent="0.25"/>
    <row r="1164" ht="14.25" customHeight="1" x14ac:dyDescent="0.25"/>
    <row r="1165" ht="14.25" customHeight="1" x14ac:dyDescent="0.25"/>
    <row r="1166" ht="14.25" customHeight="1" x14ac:dyDescent="0.25"/>
    <row r="1167" ht="14.25" customHeight="1" x14ac:dyDescent="0.25"/>
    <row r="1168" ht="14.25" customHeight="1" x14ac:dyDescent="0.25"/>
    <row r="1169" ht="14.25" customHeight="1" x14ac:dyDescent="0.25"/>
    <row r="1170" ht="14.25" customHeight="1" x14ac:dyDescent="0.25"/>
    <row r="1171" ht="14.25" customHeight="1" x14ac:dyDescent="0.25"/>
    <row r="1172" ht="14.25" customHeight="1" x14ac:dyDescent="0.25"/>
    <row r="1173" ht="14.25" customHeight="1" x14ac:dyDescent="0.25"/>
    <row r="1174" ht="14.25" customHeight="1" x14ac:dyDescent="0.25"/>
    <row r="1175" ht="14.25" customHeight="1" x14ac:dyDescent="0.25"/>
    <row r="1176" ht="14.25" customHeight="1" x14ac:dyDescent="0.25"/>
    <row r="1177" ht="14.25" customHeight="1" x14ac:dyDescent="0.25"/>
    <row r="1178" ht="14.25" customHeight="1" x14ac:dyDescent="0.25"/>
    <row r="1179" ht="14.25" customHeight="1" x14ac:dyDescent="0.25"/>
    <row r="1180" ht="14.25" customHeight="1" x14ac:dyDescent="0.25"/>
    <row r="1181" ht="14.25" customHeight="1" x14ac:dyDescent="0.25"/>
    <row r="1182" ht="14.25" customHeight="1" x14ac:dyDescent="0.25"/>
    <row r="1183" ht="14.25" customHeight="1" x14ac:dyDescent="0.25"/>
    <row r="1184" ht="14.25" customHeight="1" x14ac:dyDescent="0.25"/>
    <row r="1185" ht="14.25" customHeight="1" x14ac:dyDescent="0.25"/>
    <row r="1186" ht="14.25" customHeight="1" x14ac:dyDescent="0.25"/>
    <row r="1187" ht="14.25" customHeight="1" x14ac:dyDescent="0.25"/>
    <row r="1188" ht="14.25" customHeight="1" x14ac:dyDescent="0.25"/>
    <row r="1189" ht="14.25" customHeight="1" x14ac:dyDescent="0.25"/>
    <row r="1190" ht="14.25" customHeight="1" x14ac:dyDescent="0.25"/>
    <row r="1191" ht="14.25" customHeight="1" x14ac:dyDescent="0.25"/>
    <row r="1192" ht="14.25" customHeight="1" x14ac:dyDescent="0.25"/>
    <row r="1193" ht="14.25" customHeight="1" x14ac:dyDescent="0.25"/>
    <row r="1194" ht="14.25" customHeight="1" x14ac:dyDescent="0.25"/>
    <row r="1195" ht="14.25" customHeight="1" x14ac:dyDescent="0.25"/>
    <row r="1196" ht="14.25" customHeight="1" x14ac:dyDescent="0.25"/>
    <row r="1197" ht="14.25" customHeight="1" x14ac:dyDescent="0.25"/>
    <row r="1198" ht="14.25" customHeight="1" x14ac:dyDescent="0.25"/>
    <row r="1199" ht="14.25" customHeight="1" x14ac:dyDescent="0.25"/>
    <row r="1200" ht="14.25" customHeight="1" x14ac:dyDescent="0.25"/>
    <row r="1201" ht="14.25" customHeight="1" x14ac:dyDescent="0.25"/>
    <row r="1202" ht="14.25" customHeight="1" x14ac:dyDescent="0.25"/>
    <row r="1203" ht="14.25" customHeight="1" x14ac:dyDescent="0.25"/>
    <row r="1204" ht="14.25" customHeight="1" x14ac:dyDescent="0.25"/>
    <row r="1205" ht="14.25" customHeight="1" x14ac:dyDescent="0.25"/>
    <row r="1206" ht="14.25" customHeight="1" x14ac:dyDescent="0.25"/>
    <row r="1207" ht="14.25" customHeight="1" x14ac:dyDescent="0.25"/>
    <row r="1208" ht="14.25" customHeight="1" x14ac:dyDescent="0.25"/>
    <row r="1209" ht="14.25" customHeight="1" x14ac:dyDescent="0.25"/>
    <row r="1210" ht="14.25" customHeight="1" x14ac:dyDescent="0.25"/>
    <row r="1211" ht="14.25" customHeight="1" x14ac:dyDescent="0.25"/>
    <row r="1212" ht="14.25" customHeight="1" x14ac:dyDescent="0.25"/>
    <row r="1213" ht="14.25" customHeight="1" x14ac:dyDescent="0.25"/>
    <row r="1214" ht="14.25" customHeight="1" x14ac:dyDescent="0.25"/>
    <row r="1215" ht="14.25" customHeight="1" x14ac:dyDescent="0.25"/>
    <row r="1216" ht="14.25" customHeight="1" x14ac:dyDescent="0.25"/>
    <row r="1217" ht="14.25" customHeight="1" x14ac:dyDescent="0.25"/>
    <row r="1218" ht="14.25" customHeight="1" x14ac:dyDescent="0.25"/>
    <row r="1219" ht="14.25" customHeight="1" x14ac:dyDescent="0.25"/>
    <row r="1220" ht="14.25" customHeight="1" x14ac:dyDescent="0.25"/>
    <row r="1221" ht="14.25" customHeight="1" x14ac:dyDescent="0.25"/>
    <row r="1222" ht="14.25" customHeight="1" x14ac:dyDescent="0.25"/>
    <row r="1223" ht="14.25" customHeight="1" x14ac:dyDescent="0.25"/>
    <row r="1224" ht="14.25" customHeight="1" x14ac:dyDescent="0.25"/>
    <row r="1225" ht="14.25" customHeight="1" x14ac:dyDescent="0.25"/>
    <row r="1226" ht="14.25" customHeight="1" x14ac:dyDescent="0.25"/>
    <row r="1227" ht="14.25" customHeight="1" x14ac:dyDescent="0.25"/>
    <row r="1228" ht="14.25" customHeight="1" x14ac:dyDescent="0.25"/>
    <row r="1229" ht="14.25" customHeight="1" x14ac:dyDescent="0.25"/>
    <row r="1230" ht="14.25" customHeight="1" x14ac:dyDescent="0.25"/>
    <row r="1231" ht="14.25" customHeight="1" x14ac:dyDescent="0.25"/>
    <row r="1232" ht="14.25" customHeight="1" x14ac:dyDescent="0.25"/>
    <row r="1233" ht="14.25" customHeight="1" x14ac:dyDescent="0.25"/>
    <row r="1234" ht="14.25" customHeight="1" x14ac:dyDescent="0.25"/>
    <row r="1235" ht="14.25" customHeight="1" x14ac:dyDescent="0.25"/>
    <row r="1236" ht="14.25" customHeight="1" x14ac:dyDescent="0.25"/>
    <row r="1237" ht="14.25" customHeight="1" x14ac:dyDescent="0.25"/>
    <row r="1238" ht="14.25" customHeight="1" x14ac:dyDescent="0.25"/>
    <row r="1239" ht="14.25" customHeight="1" x14ac:dyDescent="0.25"/>
    <row r="1240" ht="14.25" customHeight="1" x14ac:dyDescent="0.25"/>
    <row r="1241" ht="14.25" customHeight="1" x14ac:dyDescent="0.25"/>
    <row r="1242" ht="14.25" customHeight="1" x14ac:dyDescent="0.25"/>
    <row r="1243" ht="14.25" customHeight="1" x14ac:dyDescent="0.25"/>
    <row r="1244" ht="14.25" customHeight="1" x14ac:dyDescent="0.25"/>
    <row r="1245" ht="14.25" customHeight="1" x14ac:dyDescent="0.25"/>
    <row r="1246" ht="14.25" customHeight="1" x14ac:dyDescent="0.25"/>
    <row r="1247" ht="14.25" customHeight="1" x14ac:dyDescent="0.25"/>
    <row r="1248" ht="14.25" customHeight="1" x14ac:dyDescent="0.25"/>
    <row r="1249" ht="14.25" customHeight="1" x14ac:dyDescent="0.25"/>
    <row r="1250" ht="14.25" customHeight="1" x14ac:dyDescent="0.25"/>
    <row r="1251" ht="14.25" customHeight="1" x14ac:dyDescent="0.25"/>
    <row r="1252" ht="14.25" customHeight="1" x14ac:dyDescent="0.25"/>
    <row r="1253" ht="14.25" customHeight="1" x14ac:dyDescent="0.25"/>
    <row r="1254" ht="14.25" customHeight="1" x14ac:dyDescent="0.25"/>
    <row r="1255" ht="14.25" customHeight="1" x14ac:dyDescent="0.25"/>
    <row r="1256" ht="14.25" customHeight="1" x14ac:dyDescent="0.25"/>
    <row r="1257" ht="14.25" customHeight="1" x14ac:dyDescent="0.25"/>
    <row r="1258" ht="14.25" customHeight="1" x14ac:dyDescent="0.25"/>
    <row r="1259" ht="14.25" customHeight="1" x14ac:dyDescent="0.25"/>
    <row r="1260" ht="14.25" customHeight="1" x14ac:dyDescent="0.25"/>
    <row r="1261" ht="14.25" customHeight="1" x14ac:dyDescent="0.25"/>
    <row r="1262" ht="14.25" customHeight="1" x14ac:dyDescent="0.25"/>
    <row r="1263" ht="14.25" customHeight="1" x14ac:dyDescent="0.25"/>
    <row r="1264" ht="14.25" customHeight="1" x14ac:dyDescent="0.25"/>
    <row r="1265" ht="14.25" customHeight="1" x14ac:dyDescent="0.25"/>
    <row r="1266" ht="14.25" customHeight="1" x14ac:dyDescent="0.25"/>
    <row r="1267" ht="14.25" customHeight="1" x14ac:dyDescent="0.25"/>
    <row r="1268" ht="14.25" customHeight="1" x14ac:dyDescent="0.25"/>
    <row r="1269" ht="14.25" customHeight="1" x14ac:dyDescent="0.25"/>
    <row r="1270" ht="14.25" customHeight="1" x14ac:dyDescent="0.25"/>
    <row r="1271" ht="14.25" customHeight="1" x14ac:dyDescent="0.25"/>
    <row r="1272" ht="14.25" customHeight="1" x14ac:dyDescent="0.25"/>
    <row r="1273" ht="14.25" customHeight="1" x14ac:dyDescent="0.25"/>
    <row r="1274" ht="14.25" customHeight="1" x14ac:dyDescent="0.25"/>
    <row r="1275" ht="14.25" customHeight="1" x14ac:dyDescent="0.25"/>
    <row r="1276" ht="14.25" customHeight="1" x14ac:dyDescent="0.25"/>
    <row r="1277" ht="14.25" customHeight="1" x14ac:dyDescent="0.25"/>
    <row r="1278" ht="14.25" customHeight="1" x14ac:dyDescent="0.25"/>
    <row r="1279" ht="14.25" customHeight="1" x14ac:dyDescent="0.25"/>
    <row r="1280" ht="14.25" customHeight="1" x14ac:dyDescent="0.25"/>
    <row r="1281" ht="14.25" customHeight="1" x14ac:dyDescent="0.25"/>
    <row r="1282" ht="14.25" customHeight="1" x14ac:dyDescent="0.25"/>
    <row r="1283" ht="14.25" customHeight="1" x14ac:dyDescent="0.25"/>
    <row r="1284" ht="14.25" customHeight="1" x14ac:dyDescent="0.25"/>
    <row r="1285" ht="14.25" customHeight="1" x14ac:dyDescent="0.25"/>
    <row r="1286" ht="14.25" customHeight="1" x14ac:dyDescent="0.25"/>
    <row r="1287" ht="14.25" customHeight="1" x14ac:dyDescent="0.25"/>
    <row r="1288" ht="14.25" customHeight="1" x14ac:dyDescent="0.25"/>
    <row r="1289" ht="14.25" customHeight="1" x14ac:dyDescent="0.25"/>
    <row r="1290" ht="14.25" customHeight="1" x14ac:dyDescent="0.25"/>
    <row r="1291" ht="14.25" customHeight="1" x14ac:dyDescent="0.25"/>
    <row r="1292" ht="14.25" customHeight="1" x14ac:dyDescent="0.25"/>
    <row r="1293" ht="14.25" customHeight="1" x14ac:dyDescent="0.25"/>
    <row r="1294" ht="14.25" customHeight="1" x14ac:dyDescent="0.25"/>
    <row r="1295" ht="14.25" customHeight="1" x14ac:dyDescent="0.25"/>
  </sheetData>
  <pageMargins left="0.7" right="0.7" top="0.75" bottom="0.75" header="0" footer="0"/>
  <pageSetup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 Investment LLC</dc:creator>
  <cp:lastModifiedBy>ariel yisraelian</cp:lastModifiedBy>
  <cp:lastPrinted>2025-05-09T14:48:31Z</cp:lastPrinted>
  <dcterms:created xsi:type="dcterms:W3CDTF">2015-06-05T18:17:20Z</dcterms:created>
  <dcterms:modified xsi:type="dcterms:W3CDTF">2026-08-09T22:51:06Z</dcterms:modified>
</cp:coreProperties>
</file>